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7902"/>
  <workbookPr filterPrivacy="1" defaultThemeVersion="124226"/>
  <bookViews>
    <workbookView xWindow="0" yWindow="0" windowWidth="19200" windowHeight="8300" firstSheet="1" activeTab="1" xr2:uid="{00000000-000D-0000-FFFF-FFFF00000000}"/>
  </bookViews>
  <sheets>
    <sheet name="I&amp;E" sheetId="7" r:id="rId1"/>
    <sheet name="Annexure-1" sheetId="9" r:id="rId2"/>
    <sheet name="Sheet1" sheetId="1" state="hidden" r:id="rId3"/>
    <sheet name="bal-1" sheetId="3" r:id="rId4"/>
    <sheet name="Bal-2" sheetId="5" r:id="rId5"/>
    <sheet name="Sheet1 (2)" sheetId="6" state="hidden" r:id="rId6"/>
    <sheet name="Sheet3" sheetId="10" r:id="rId7"/>
    <sheet name="Sheet4" sheetId="11" r:id="rId8"/>
    <sheet name="Sheet2" sheetId="2" r:id="rId9"/>
  </sheets>
  <calcPr calcId="171026"/>
</workbook>
</file>

<file path=xl/calcChain.xml><?xml version="1.0" encoding="utf-8"?>
<calcChain xmlns="http://schemas.openxmlformats.org/spreadsheetml/2006/main">
  <c r="C7" i="3" l="1"/>
  <c r="E11" i="5"/>
  <c r="E10" i="5"/>
  <c r="F22" i="3"/>
  <c r="F26" i="5"/>
  <c r="C16" i="3"/>
  <c r="C21" i="3"/>
  <c r="C25" i="5"/>
  <c r="E9" i="3"/>
  <c r="E8" i="3"/>
  <c r="G35" i="7"/>
  <c r="F41" i="7"/>
  <c r="E41" i="7"/>
  <c r="D41" i="7"/>
  <c r="D35" i="11"/>
  <c r="D28" i="11"/>
  <c r="M29" i="11"/>
  <c r="J29" i="11"/>
  <c r="J27" i="11"/>
  <c r="D22" i="11"/>
  <c r="M22" i="11"/>
  <c r="D15" i="11"/>
  <c r="F7" i="11"/>
  <c r="F6" i="11"/>
  <c r="N12" i="11"/>
  <c r="H6" i="11"/>
  <c r="B12" i="11"/>
  <c r="K4" i="11"/>
  <c r="K5" i="11"/>
  <c r="G7" i="11"/>
  <c r="H7" i="11"/>
  <c r="B13" i="11"/>
  <c r="G6" i="11"/>
  <c r="G9" i="11"/>
  <c r="C22" i="10"/>
  <c r="C23" i="10"/>
  <c r="F10" i="7"/>
  <c r="E10" i="7"/>
  <c r="D10" i="7"/>
  <c r="C10" i="7"/>
  <c r="G30" i="7"/>
  <c r="F25" i="7"/>
  <c r="E25" i="7"/>
  <c r="C25" i="7"/>
  <c r="D25" i="7"/>
  <c r="D24" i="7"/>
  <c r="E24" i="7"/>
  <c r="F21" i="7"/>
  <c r="E21" i="7"/>
  <c r="D21" i="7"/>
  <c r="C21" i="7"/>
  <c r="C28" i="7"/>
  <c r="D28" i="7"/>
  <c r="E28" i="7"/>
  <c r="F28" i="7"/>
  <c r="C26" i="7"/>
  <c r="D26" i="7"/>
  <c r="E26" i="7"/>
  <c r="F26" i="7"/>
  <c r="B10" i="7"/>
  <c r="O20" i="9"/>
  <c r="K20" i="9"/>
  <c r="N20" i="9"/>
  <c r="M20" i="9"/>
  <c r="L21" i="9"/>
  <c r="V2" i="9"/>
  <c r="O30" i="9"/>
  <c r="K30" i="9"/>
  <c r="M21" i="9"/>
  <c r="N21" i="9"/>
  <c r="O21" i="9"/>
  <c r="K21" i="9"/>
  <c r="F9" i="11"/>
  <c r="B34" i="7"/>
  <c r="E11" i="3"/>
  <c r="F13" i="11"/>
  <c r="E8" i="5"/>
  <c r="F12" i="11"/>
  <c r="E7" i="5"/>
  <c r="B15" i="11"/>
  <c r="H9" i="11"/>
  <c r="F11" i="3"/>
  <c r="H25" i="5"/>
  <c r="I25" i="5"/>
  <c r="L20" i="9"/>
  <c r="C19" i="5"/>
  <c r="C16" i="10"/>
  <c r="D16" i="10"/>
  <c r="C12" i="10"/>
  <c r="D12" i="10"/>
  <c r="G41" i="7"/>
  <c r="F53" i="7"/>
  <c r="D51" i="7"/>
  <c r="G13" i="11"/>
  <c r="H13" i="11"/>
  <c r="B20" i="11"/>
  <c r="F20" i="11"/>
  <c r="E12" i="5"/>
  <c r="F15" i="11"/>
  <c r="G12" i="11"/>
  <c r="G15" i="11"/>
  <c r="B42" i="7"/>
  <c r="B29" i="7"/>
  <c r="C29" i="7"/>
  <c r="D29" i="7"/>
  <c r="E29" i="7"/>
  <c r="F29" i="7"/>
  <c r="D32" i="7"/>
  <c r="C11" i="7"/>
  <c r="C12" i="7"/>
  <c r="K6" i="9"/>
  <c r="K8" i="9"/>
  <c r="B6" i="7"/>
  <c r="M6" i="9"/>
  <c r="M12" i="9"/>
  <c r="N6" i="9"/>
  <c r="N12" i="9"/>
  <c r="O6" i="9"/>
  <c r="O12" i="9"/>
  <c r="K16" i="9"/>
  <c r="K18" i="9"/>
  <c r="L16" i="9"/>
  <c r="C7" i="7"/>
  <c r="M16" i="9"/>
  <c r="D7" i="7"/>
  <c r="N16" i="9"/>
  <c r="N19" i="9"/>
  <c r="O16" i="9"/>
  <c r="O18" i="9"/>
  <c r="D22" i="7"/>
  <c r="F22" i="7"/>
  <c r="L23" i="9"/>
  <c r="L30" i="9"/>
  <c r="C23" i="7"/>
  <c r="M23" i="9"/>
  <c r="O25" i="9"/>
  <c r="K25" i="9"/>
  <c r="K28" i="9"/>
  <c r="K29" i="9"/>
  <c r="L29" i="9"/>
  <c r="M29" i="9"/>
  <c r="N29" i="9"/>
  <c r="O29" i="9"/>
  <c r="F23" i="7"/>
  <c r="B23" i="7"/>
  <c r="E22" i="7"/>
  <c r="C22" i="7"/>
  <c r="B22" i="7"/>
  <c r="F12" i="7"/>
  <c r="E12" i="7"/>
  <c r="D12" i="7"/>
  <c r="B12" i="7"/>
  <c r="G10" i="7"/>
  <c r="J7" i="1"/>
  <c r="G36" i="7"/>
  <c r="G33" i="7"/>
  <c r="B32" i="7"/>
  <c r="G31" i="7"/>
  <c r="G28" i="7"/>
  <c r="G26" i="7"/>
  <c r="B25" i="7"/>
  <c r="G25" i="7"/>
  <c r="G24" i="7"/>
  <c r="B21" i="7"/>
  <c r="G20" i="11"/>
  <c r="H20" i="11"/>
  <c r="B26" i="11"/>
  <c r="L25" i="9"/>
  <c r="C8" i="7"/>
  <c r="C34" i="7"/>
  <c r="E14" i="5"/>
  <c r="F15" i="5"/>
  <c r="E7" i="7"/>
  <c r="H12" i="11"/>
  <c r="G11" i="7"/>
  <c r="G29" i="7"/>
  <c r="M30" i="9"/>
  <c r="D23" i="7"/>
  <c r="N23" i="9"/>
  <c r="N30" i="9"/>
  <c r="E23" i="7"/>
  <c r="K12" i="9"/>
  <c r="L6" i="9"/>
  <c r="L12" i="9"/>
  <c r="L35" i="9"/>
  <c r="C27" i="7"/>
  <c r="F7" i="7"/>
  <c r="O8" i="9"/>
  <c r="N8" i="9"/>
  <c r="N18" i="9"/>
  <c r="M18" i="9"/>
  <c r="M19" i="9"/>
  <c r="L18" i="9"/>
  <c r="B8" i="7"/>
  <c r="K27" i="9"/>
  <c r="K32" i="9"/>
  <c r="B7" i="7"/>
  <c r="K35" i="9"/>
  <c r="B27" i="7"/>
  <c r="B37" i="7"/>
  <c r="M35" i="9"/>
  <c r="D27" i="7"/>
  <c r="L19" i="9"/>
  <c r="K10" i="9"/>
  <c r="O35" i="9"/>
  <c r="F27" i="7"/>
  <c r="B7" i="10"/>
  <c r="C7" i="10"/>
  <c r="D7" i="10"/>
  <c r="M8" i="9"/>
  <c r="M25" i="9"/>
  <c r="D8" i="6"/>
  <c r="N35" i="9"/>
  <c r="E27" i="7"/>
  <c r="G12" i="7"/>
  <c r="O28" i="9"/>
  <c r="F8" i="7"/>
  <c r="O27" i="9"/>
  <c r="O19" i="9"/>
  <c r="K19" i="9"/>
  <c r="K11" i="9"/>
  <c r="G22" i="7"/>
  <c r="G21" i="7"/>
  <c r="B33" i="6"/>
  <c r="G33" i="6"/>
  <c r="C41" i="6"/>
  <c r="C43" i="6"/>
  <c r="B41" i="6"/>
  <c r="B42" i="6"/>
  <c r="K37" i="6"/>
  <c r="C35" i="6"/>
  <c r="G35" i="6"/>
  <c r="G30" i="6"/>
  <c r="D29" i="6"/>
  <c r="B29" i="6"/>
  <c r="G28" i="6"/>
  <c r="G27" i="6"/>
  <c r="G26" i="6"/>
  <c r="C25" i="6"/>
  <c r="B25" i="6"/>
  <c r="G24" i="6"/>
  <c r="I23" i="6"/>
  <c r="I24" i="6"/>
  <c r="B23" i="6"/>
  <c r="G23" i="6"/>
  <c r="I22" i="6"/>
  <c r="G22" i="6"/>
  <c r="F21" i="6"/>
  <c r="C21" i="6"/>
  <c r="B21" i="6"/>
  <c r="F20" i="6"/>
  <c r="E20" i="6"/>
  <c r="D20" i="6"/>
  <c r="C20" i="6"/>
  <c r="B20" i="6"/>
  <c r="F19" i="6"/>
  <c r="E19" i="6"/>
  <c r="D19" i="6"/>
  <c r="C19" i="6"/>
  <c r="B19" i="6"/>
  <c r="G14" i="6"/>
  <c r="B8" i="6"/>
  <c r="F7" i="6"/>
  <c r="E7" i="6"/>
  <c r="D7" i="6"/>
  <c r="C7" i="6"/>
  <c r="B7" i="6"/>
  <c r="H6" i="6"/>
  <c r="H6" i="1"/>
  <c r="C41" i="1"/>
  <c r="C43" i="1"/>
  <c r="B41" i="1"/>
  <c r="B42" i="1"/>
  <c r="C35" i="1"/>
  <c r="G32" i="1"/>
  <c r="G33" i="1"/>
  <c r="G34" i="1"/>
  <c r="G35" i="1"/>
  <c r="G30" i="1"/>
  <c r="C23" i="1"/>
  <c r="C21" i="1"/>
  <c r="C27" i="1"/>
  <c r="B27" i="1"/>
  <c r="N25" i="9"/>
  <c r="F26" i="11"/>
  <c r="G26" i="11"/>
  <c r="L28" i="9"/>
  <c r="C42" i="7"/>
  <c r="L27" i="9"/>
  <c r="H15" i="11"/>
  <c r="B19" i="11"/>
  <c r="L8" i="9"/>
  <c r="L10" i="9"/>
  <c r="K33" i="9"/>
  <c r="N11" i="9"/>
  <c r="E6" i="7"/>
  <c r="O11" i="9"/>
  <c r="O34" i="9"/>
  <c r="F6" i="7"/>
  <c r="F9" i="7"/>
  <c r="F13" i="7"/>
  <c r="M10" i="9"/>
  <c r="D6" i="7"/>
  <c r="G7" i="7"/>
  <c r="F6" i="6"/>
  <c r="O10" i="9"/>
  <c r="O33" i="9"/>
  <c r="O32" i="9"/>
  <c r="N10" i="9"/>
  <c r="N32" i="9"/>
  <c r="M32" i="9"/>
  <c r="M11" i="9"/>
  <c r="M27" i="9"/>
  <c r="M33" i="9"/>
  <c r="D8" i="7"/>
  <c r="M28" i="9"/>
  <c r="N27" i="9"/>
  <c r="N28" i="9"/>
  <c r="N34" i="9"/>
  <c r="E8" i="7"/>
  <c r="K34" i="9"/>
  <c r="G27" i="7"/>
  <c r="E6" i="6"/>
  <c r="B6" i="1"/>
  <c r="E8" i="6"/>
  <c r="C8" i="6"/>
  <c r="F8" i="6"/>
  <c r="D6" i="6"/>
  <c r="D10" i="6"/>
  <c r="E21" i="6"/>
  <c r="E36" i="6"/>
  <c r="D21" i="6"/>
  <c r="B31" i="6"/>
  <c r="G23" i="7"/>
  <c r="B6" i="6"/>
  <c r="B10" i="6"/>
  <c r="G25" i="6"/>
  <c r="F36" i="6"/>
  <c r="G7" i="6"/>
  <c r="C36" i="6"/>
  <c r="G20" i="6"/>
  <c r="G19" i="6"/>
  <c r="I25" i="1"/>
  <c r="I26" i="1"/>
  <c r="I24" i="1"/>
  <c r="K37" i="1"/>
  <c r="F23" i="1"/>
  <c r="E23" i="1"/>
  <c r="D23" i="1"/>
  <c r="B23" i="1"/>
  <c r="D22" i="1"/>
  <c r="F22" i="1"/>
  <c r="E22" i="1"/>
  <c r="C22" i="1"/>
  <c r="B22" i="1"/>
  <c r="B25" i="1"/>
  <c r="F21" i="1"/>
  <c r="E21" i="1"/>
  <c r="D21" i="1"/>
  <c r="B21" i="1"/>
  <c r="E10" i="2"/>
  <c r="D10" i="2"/>
  <c r="L33" i="9"/>
  <c r="L11" i="9"/>
  <c r="L32" i="9"/>
  <c r="C6" i="7"/>
  <c r="C9" i="7"/>
  <c r="C13" i="7"/>
  <c r="C16" i="7"/>
  <c r="C6" i="6"/>
  <c r="C10" i="6"/>
  <c r="C12" i="6"/>
  <c r="L34" i="9"/>
  <c r="H26" i="11"/>
  <c r="B33" i="11"/>
  <c r="F33" i="11"/>
  <c r="B22" i="11"/>
  <c r="F19" i="11"/>
  <c r="F10" i="6"/>
  <c r="F12" i="6"/>
  <c r="E9" i="7"/>
  <c r="E13" i="7"/>
  <c r="N33" i="9"/>
  <c r="D9" i="7"/>
  <c r="D13" i="7"/>
  <c r="M34" i="9"/>
  <c r="F31" i="1"/>
  <c r="F32" i="7"/>
  <c r="F29" i="6"/>
  <c r="E31" i="1"/>
  <c r="E32" i="7"/>
  <c r="E29" i="6"/>
  <c r="E10" i="6"/>
  <c r="E12" i="6"/>
  <c r="E13" i="6"/>
  <c r="B9" i="7"/>
  <c r="B13" i="7"/>
  <c r="G8" i="6"/>
  <c r="G21" i="6"/>
  <c r="G36" i="6"/>
  <c r="D36" i="6"/>
  <c r="G8" i="7"/>
  <c r="D12" i="6"/>
  <c r="D13" i="6"/>
  <c r="D16" i="6"/>
  <c r="B12" i="6"/>
  <c r="D31" i="1"/>
  <c r="C15" i="7"/>
  <c r="G6" i="7"/>
  <c r="G6" i="6"/>
  <c r="G10" i="6"/>
  <c r="F22" i="11"/>
  <c r="G19" i="11"/>
  <c r="G22" i="11"/>
  <c r="D34" i="7"/>
  <c r="G33" i="11"/>
  <c r="H33" i="11"/>
  <c r="F13" i="6"/>
  <c r="F16" i="6"/>
  <c r="F38" i="6"/>
  <c r="B15" i="7"/>
  <c r="B16" i="7"/>
  <c r="G9" i="7"/>
  <c r="G13" i="7"/>
  <c r="C17" i="7"/>
  <c r="C18" i="7"/>
  <c r="E16" i="7"/>
  <c r="E15" i="7"/>
  <c r="F16" i="7"/>
  <c r="F15" i="7"/>
  <c r="D15" i="7"/>
  <c r="D16" i="7"/>
  <c r="G12" i="6"/>
  <c r="E16" i="6"/>
  <c r="E38" i="6"/>
  <c r="C13" i="6"/>
  <c r="C16" i="6"/>
  <c r="C38" i="6"/>
  <c r="D38" i="6"/>
  <c r="B13" i="6"/>
  <c r="E5" i="2"/>
  <c r="M11" i="2"/>
  <c r="M6" i="2"/>
  <c r="M12" i="2"/>
  <c r="M5" i="2"/>
  <c r="D5" i="2"/>
  <c r="B31" i="1"/>
  <c r="D42" i="7"/>
  <c r="D37" i="7"/>
  <c r="H19" i="11"/>
  <c r="C31" i="1"/>
  <c r="C36" i="1"/>
  <c r="C32" i="7"/>
  <c r="C29" i="6"/>
  <c r="G29" i="6"/>
  <c r="B17" i="7"/>
  <c r="B18" i="7"/>
  <c r="B40" i="7"/>
  <c r="D17" i="7"/>
  <c r="F17" i="7"/>
  <c r="F18" i="7"/>
  <c r="E17" i="7"/>
  <c r="E18" i="7"/>
  <c r="G16" i="7"/>
  <c r="G15" i="7"/>
  <c r="G13" i="6"/>
  <c r="H11" i="6"/>
  <c r="B16" i="6"/>
  <c r="B32" i="6"/>
  <c r="G16" i="6"/>
  <c r="G38" i="6"/>
  <c r="F6" i="1"/>
  <c r="E6" i="1"/>
  <c r="D6" i="1"/>
  <c r="C6" i="1"/>
  <c r="B8" i="1"/>
  <c r="C7" i="1"/>
  <c r="D8" i="1"/>
  <c r="E8" i="1"/>
  <c r="C8" i="1"/>
  <c r="G31" i="1"/>
  <c r="B43" i="7"/>
  <c r="C8" i="3"/>
  <c r="B25" i="11"/>
  <c r="H22" i="11"/>
  <c r="D18" i="7"/>
  <c r="D40" i="7"/>
  <c r="G32" i="7"/>
  <c r="C37" i="7"/>
  <c r="C40" i="7"/>
  <c r="G17" i="7"/>
  <c r="G18" i="7"/>
  <c r="B34" i="6"/>
  <c r="G34" i="6"/>
  <c r="F8" i="1"/>
  <c r="B7" i="1"/>
  <c r="E7" i="1"/>
  <c r="D7" i="1"/>
  <c r="F7" i="1"/>
  <c r="G15" i="1"/>
  <c r="D43" i="7"/>
  <c r="B8" i="10"/>
  <c r="C8" i="10"/>
  <c r="C9" i="10"/>
  <c r="C43" i="7"/>
  <c r="C8" i="5"/>
  <c r="C30" i="5"/>
  <c r="C7" i="5"/>
  <c r="F21" i="3"/>
  <c r="F25" i="11"/>
  <c r="B28" i="11"/>
  <c r="F36" i="1"/>
  <c r="E36" i="1"/>
  <c r="G16" i="1"/>
  <c r="G25" i="11"/>
  <c r="G28" i="11"/>
  <c r="E34" i="7"/>
  <c r="H25" i="11"/>
  <c r="F25" i="5"/>
  <c r="F30" i="5"/>
  <c r="D31" i="5"/>
  <c r="F28" i="3"/>
  <c r="D8" i="10"/>
  <c r="D9" i="10"/>
  <c r="D36" i="1"/>
  <c r="G22" i="1"/>
  <c r="G23" i="1"/>
  <c r="E32" i="5"/>
  <c r="H28" i="11"/>
  <c r="B32" i="11"/>
  <c r="E42" i="7"/>
  <c r="E37" i="7"/>
  <c r="E40" i="7"/>
  <c r="G29" i="1"/>
  <c r="G28" i="1"/>
  <c r="G27" i="1"/>
  <c r="G26" i="1"/>
  <c r="G25" i="1"/>
  <c r="G24" i="1"/>
  <c r="B10" i="1"/>
  <c r="F10" i="1"/>
  <c r="E10" i="1"/>
  <c r="D10" i="1"/>
  <c r="G7" i="1"/>
  <c r="G6" i="1"/>
  <c r="B35" i="11"/>
  <c r="F32" i="11"/>
  <c r="E43" i="7"/>
  <c r="B13" i="10"/>
  <c r="G21" i="1"/>
  <c r="G36" i="1"/>
  <c r="B36" i="1"/>
  <c r="E12" i="1"/>
  <c r="E14" i="1"/>
  <c r="F12" i="1"/>
  <c r="F14" i="1"/>
  <c r="B12" i="1"/>
  <c r="B13" i="1"/>
  <c r="D12" i="1"/>
  <c r="D14" i="1"/>
  <c r="G8" i="1"/>
  <c r="G10" i="1"/>
  <c r="C10" i="1"/>
  <c r="C13" i="10"/>
  <c r="C14" i="10"/>
  <c r="D13" i="10"/>
  <c r="D14" i="10"/>
  <c r="F35" i="11"/>
  <c r="G32" i="11"/>
  <c r="G35" i="11"/>
  <c r="F34" i="7"/>
  <c r="F18" i="1"/>
  <c r="F38" i="1"/>
  <c r="E18" i="1"/>
  <c r="E38" i="1"/>
  <c r="D18" i="1"/>
  <c r="D38" i="1"/>
  <c r="B14" i="1"/>
  <c r="D13" i="1"/>
  <c r="F13" i="1"/>
  <c r="C12" i="1"/>
  <c r="C14" i="1"/>
  <c r="E13" i="1"/>
  <c r="H32" i="11"/>
  <c r="H35" i="11"/>
  <c r="F42" i="7"/>
  <c r="G42" i="7"/>
  <c r="F37" i="7"/>
  <c r="F40" i="7"/>
  <c r="G34" i="7"/>
  <c r="G37" i="7"/>
  <c r="G40" i="7"/>
  <c r="B18" i="1"/>
  <c r="B38" i="1"/>
  <c r="C18" i="1"/>
  <c r="C38" i="1"/>
  <c r="G12" i="1"/>
  <c r="G14" i="1"/>
  <c r="C13" i="1"/>
  <c r="G13" i="1"/>
  <c r="F43" i="7"/>
  <c r="G43" i="7"/>
  <c r="B17" i="10"/>
  <c r="C28" i="3"/>
  <c r="D31" i="3"/>
  <c r="G18" i="1"/>
  <c r="G38" i="1"/>
  <c r="C17" i="10"/>
  <c r="C18" i="10"/>
  <c r="D17" i="10"/>
  <c r="D18" i="10"/>
</calcChain>
</file>

<file path=xl/sharedStrings.xml><?xml version="1.0" encoding="utf-8"?>
<sst xmlns="http://schemas.openxmlformats.org/spreadsheetml/2006/main" count="288" uniqueCount="125">
  <si>
    <t>NOVATECH ROBO - ROBOTICS BUSINESS PROPOSAL</t>
  </si>
  <si>
    <t xml:space="preserve">ESTIMATION OF INCOME AND EXPENDITURE OF FRANCHISE FOR 5 YEARS </t>
  </si>
  <si>
    <t>AMOUNT (in Rs)</t>
  </si>
  <si>
    <t>INCOME
(As per Annexure 1)</t>
  </si>
  <si>
    <t>1st Year</t>
  </si>
  <si>
    <t>2nd Year</t>
  </si>
  <si>
    <t>3rd Year</t>
  </si>
  <si>
    <t>4th Year</t>
  </si>
  <si>
    <t>5th Year</t>
  </si>
  <si>
    <t>TOTAL</t>
  </si>
  <si>
    <t xml:space="preserve">At schools </t>
  </si>
  <si>
    <t>At  Short term school</t>
  </si>
  <si>
    <t>At school Summer Camp</t>
  </si>
  <si>
    <t>Total Turnover</t>
  </si>
  <si>
    <t>Workshops and Training Programme -Colleges</t>
  </si>
  <si>
    <t xml:space="preserve">Income from Sale of Novabot </t>
  </si>
  <si>
    <t>Other Income</t>
  </si>
  <si>
    <t>Expenditure</t>
  </si>
  <si>
    <t>School Share-Expenses</t>
  </si>
  <si>
    <t>Novatech Share-Expenses</t>
  </si>
  <si>
    <t>Total Expenditure</t>
  </si>
  <si>
    <t>Net Income-A</t>
  </si>
  <si>
    <t>EXPENDITURE</t>
  </si>
  <si>
    <t>Rent</t>
  </si>
  <si>
    <t>Material Cost - Short Term</t>
  </si>
  <si>
    <t>Material Cost - Summer camp</t>
  </si>
  <si>
    <t>Administrative Expenses</t>
  </si>
  <si>
    <t>Travelling</t>
  </si>
  <si>
    <t>Commissions</t>
  </si>
  <si>
    <t>Faculty</t>
  </si>
  <si>
    <t>Marketing Executive</t>
  </si>
  <si>
    <t>Additional Marketing</t>
  </si>
  <si>
    <t>Maintainence</t>
  </si>
  <si>
    <t>Advertisement(News Papers)</t>
  </si>
  <si>
    <t>Interest on Loan</t>
  </si>
  <si>
    <t>Office Set up Expenses</t>
  </si>
  <si>
    <t>Depreciation</t>
  </si>
  <si>
    <t>Provision for taxation</t>
  </si>
  <si>
    <t>Franchise Fee</t>
  </si>
  <si>
    <t>TOTAL-B</t>
  </si>
  <si>
    <t>SURPLUS/DEFICIT (A-B)</t>
  </si>
  <si>
    <t>Add:-Provision For Income Tax</t>
  </si>
  <si>
    <t>Add:-Depreciation</t>
  </si>
  <si>
    <t>NET SURPLUS</t>
  </si>
  <si>
    <t xml:space="preserve">In third Year I assumed that again we took loan from bank of 8 Lakh rupee for that I charged the interest as expense </t>
  </si>
  <si>
    <t>Note;-out of Surplus of every Year we are spending 50% on EQUIPMENTS</t>
  </si>
  <si>
    <t>Annexure-1</t>
  </si>
  <si>
    <t>REVENUE AT SCHOOL</t>
  </si>
  <si>
    <t>NUMBER OF SCHOOLS</t>
  </si>
  <si>
    <t>NUMBER OF STUDENTS</t>
  </si>
  <si>
    <t>TOTAL STUDENTS</t>
  </si>
  <si>
    <t xml:space="preserve">Acadamic year fee </t>
  </si>
  <si>
    <t xml:space="preserve">TOTAL FEE </t>
  </si>
  <si>
    <t>EXPENSE</t>
  </si>
  <si>
    <t>School Share</t>
  </si>
  <si>
    <t>Novatech Fee</t>
  </si>
  <si>
    <t>Faculty Fee</t>
  </si>
  <si>
    <t>REVENUE FROM SHORT TERM SCHOOL</t>
  </si>
  <si>
    <t>Fee per student</t>
  </si>
  <si>
    <t>TOTAL Fee</t>
  </si>
  <si>
    <t>Material Cost</t>
  </si>
  <si>
    <t>REVENUE SUMMER CAMP</t>
  </si>
  <si>
    <t>Total FEE</t>
  </si>
  <si>
    <t>REVENUE TOTAL</t>
  </si>
  <si>
    <t>REVENUE FM WORK SHOP</t>
  </si>
  <si>
    <t>SALE OF NOVABOT</t>
  </si>
  <si>
    <t>Franchise Share-i</t>
  </si>
  <si>
    <t>FM Workshop-Franchise share-ii</t>
  </si>
  <si>
    <t>Income from Sale of Novabot pertaining to Franchise only-iii</t>
  </si>
  <si>
    <t>TOTAL FRANCHISE SHARE OF INCOME - A (i+ii+iii)</t>
  </si>
  <si>
    <t>FRANCHISE EXPENDITURE</t>
  </si>
  <si>
    <t>Marterial Cost - Short Term</t>
  </si>
  <si>
    <t>Marterial Cost - Summer camp</t>
  </si>
  <si>
    <t>Provision For Income Tax</t>
  </si>
  <si>
    <t>Provisional  Balance Sheet of Franchise-Novatech Robo</t>
  </si>
  <si>
    <t xml:space="preserve">                              For the 1st Year</t>
  </si>
  <si>
    <t>Liabilities</t>
  </si>
  <si>
    <t>Amount(Rs)</t>
  </si>
  <si>
    <t>Assets</t>
  </si>
  <si>
    <t>Amount(RS)</t>
  </si>
  <si>
    <t>Capital Account</t>
  </si>
  <si>
    <t>Fixed Assets</t>
  </si>
  <si>
    <t>Opening Balance</t>
  </si>
  <si>
    <t>Additions:-</t>
  </si>
  <si>
    <t>Add/Less:-Surplus /Deficit</t>
  </si>
  <si>
    <t>School Kits</t>
  </si>
  <si>
    <t>College Kits</t>
  </si>
  <si>
    <t>Less;</t>
  </si>
  <si>
    <t>Long Term Liabilities</t>
  </si>
  <si>
    <t>Loans &amp; Advances</t>
  </si>
  <si>
    <t>Loan From Bank</t>
  </si>
  <si>
    <t>Office Advance</t>
  </si>
  <si>
    <t>Provisions</t>
  </si>
  <si>
    <t>Current Assets</t>
  </si>
  <si>
    <t>For Taxation</t>
  </si>
  <si>
    <t>Cash on Hand</t>
  </si>
  <si>
    <t>Cash at Bank</t>
  </si>
  <si>
    <t>Total</t>
  </si>
  <si>
    <t xml:space="preserve">                              For the 2nd Year</t>
  </si>
  <si>
    <t>Equipments:-School Kits</t>
  </si>
  <si>
    <r>
      <rPr>
        <b/>
        <sz val="11"/>
        <color theme="1"/>
        <rFont val="Calibri"/>
        <family val="2"/>
        <scheme val="minor"/>
      </rPr>
      <t>Additional Equipments</t>
    </r>
    <r>
      <rPr>
        <sz val="11"/>
        <color theme="1"/>
        <rFont val="Calibri"/>
        <family val="2"/>
        <scheme val="minor"/>
      </rPr>
      <t xml:space="preserve">:- School Kits            </t>
    </r>
  </si>
  <si>
    <t>Less:-</t>
  </si>
  <si>
    <t>Total Depreciation</t>
  </si>
  <si>
    <t>Current Liabilities</t>
  </si>
  <si>
    <t>For taxation</t>
  </si>
  <si>
    <t>DEPRECIATION CALCULATION</t>
  </si>
  <si>
    <t>3RD YEAR</t>
  </si>
  <si>
    <t>4TH YEAR</t>
  </si>
  <si>
    <t>5TH YEAR</t>
  </si>
  <si>
    <t>Fixed Assets Schedule</t>
  </si>
  <si>
    <t>No.of Kits-Addition</t>
  </si>
  <si>
    <t>Value of Additions</t>
  </si>
  <si>
    <t>Deletions</t>
  </si>
  <si>
    <t>Closing Balance</t>
  </si>
  <si>
    <t>30Kits School Kits</t>
  </si>
  <si>
    <t>10 Kits/School Kits</t>
  </si>
  <si>
    <t>100 Kits/School Kits</t>
  </si>
  <si>
    <t>80 Kits/School Kits</t>
  </si>
  <si>
    <t>100 Kits</t>
  </si>
  <si>
    <t xml:space="preserve">Interest on Loan </t>
  </si>
  <si>
    <t>1st year</t>
  </si>
  <si>
    <t>2nd year</t>
  </si>
  <si>
    <t>Total Loan Amount</t>
  </si>
  <si>
    <t>Interest Paid on New Loan</t>
  </si>
  <si>
    <t>New Loan in 4th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</si>
</sst>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166" fontId="0" fillId="0" borderId="0" xfId="1" applyNumberFormat="1" applyFont="1"/>
    <xf numFmtId="166" fontId="2" fillId="0" borderId="0" xfId="1" applyNumberFormat="1" applyFont="1"/>
    <xf numFmtId="166" fontId="2" fillId="0" borderId="1" xfId="1" applyNumberFormat="1" applyFont="1" applyBorder="1"/>
    <xf numFmtId="166" fontId="0" fillId="0" borderId="0" xfId="1" applyNumberFormat="1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0" xfId="0" applyFont="1" applyBorder="1"/>
    <xf numFmtId="0" fontId="0" fillId="0" borderId="0" xfId="0" applyFont="1"/>
    <xf numFmtId="166" fontId="1" fillId="0" borderId="4" xfId="1" applyNumberFormat="1" applyFont="1" applyFill="1" applyBorder="1"/>
    <xf numFmtId="166" fontId="0" fillId="0" borderId="0" xfId="0" applyNumberForma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164" fontId="1" fillId="0" borderId="1" xfId="1" applyNumberFormat="1" applyFont="1" applyBorder="1"/>
    <xf numFmtId="164" fontId="2" fillId="0" borderId="1" xfId="1" applyNumberFormat="1" applyFont="1" applyBorder="1"/>
    <xf numFmtId="164" fontId="0" fillId="0" borderId="1" xfId="1" applyNumberFormat="1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64" fontId="2" fillId="0" borderId="0" xfId="1" applyNumberFormat="1" applyFont="1" applyBorder="1"/>
    <xf numFmtId="164" fontId="5" fillId="0" borderId="1" xfId="1" applyNumberFormat="1" applyFont="1" applyBorder="1"/>
    <xf numFmtId="164" fontId="0" fillId="0" borderId="0" xfId="1" applyNumberFormat="1" applyFont="1"/>
    <xf numFmtId="164" fontId="0" fillId="0" borderId="0" xfId="0" applyNumberFormat="1"/>
    <xf numFmtId="164" fontId="4" fillId="0" borderId="1" xfId="1" applyNumberFormat="1" applyFont="1" applyBorder="1"/>
    <xf numFmtId="0" fontId="0" fillId="0" borderId="0" xfId="0" applyBorder="1"/>
    <xf numFmtId="1" fontId="0" fillId="0" borderId="0" xfId="0" applyNumberFormat="1"/>
    <xf numFmtId="164" fontId="0" fillId="0" borderId="5" xfId="1" applyNumberFormat="1" applyFont="1" applyFill="1" applyBorder="1"/>
    <xf numFmtId="0" fontId="2" fillId="0" borderId="0" xfId="0" applyFont="1" applyAlignment="1"/>
    <xf numFmtId="0" fontId="0" fillId="0" borderId="5" xfId="0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6" fillId="0" borderId="5" xfId="0" applyFont="1" applyBorder="1"/>
    <xf numFmtId="0" fontId="2" fillId="0" borderId="5" xfId="0" applyFont="1" applyBorder="1"/>
    <xf numFmtId="164" fontId="0" fillId="0" borderId="1" xfId="1" applyNumberFormat="1" applyFont="1" applyFill="1" applyBorder="1"/>
    <xf numFmtId="166" fontId="0" fillId="0" borderId="0" xfId="1" applyNumberFormat="1" applyFont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6" fontId="0" fillId="0" borderId="5" xfId="1" applyNumberFormat="1" applyFont="1" applyBorder="1" applyAlignment="1">
      <alignment horizontal="right"/>
    </xf>
    <xf numFmtId="166" fontId="2" fillId="0" borderId="5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0" fontId="7" fillId="0" borderId="1" xfId="0" applyFont="1" applyBorder="1"/>
    <xf numFmtId="0" fontId="0" fillId="0" borderId="5" xfId="0" applyBorder="1" applyAlignment="1"/>
    <xf numFmtId="0" fontId="0" fillId="0" borderId="5" xfId="0" applyBorder="1" applyAlignment="1">
      <alignment wrapText="1"/>
    </xf>
    <xf numFmtId="0" fontId="5" fillId="0" borderId="0" xfId="0" applyFont="1"/>
    <xf numFmtId="166" fontId="5" fillId="0" borderId="0" xfId="1" applyNumberFormat="1" applyFont="1" applyAlignment="1">
      <alignment horizontal="right"/>
    </xf>
    <xf numFmtId="166" fontId="0" fillId="0" borderId="0" xfId="0" applyNumberFormat="1"/>
    <xf numFmtId="166" fontId="1" fillId="0" borderId="1" xfId="1" applyNumberFormat="1" applyFont="1" applyBorder="1"/>
    <xf numFmtId="166" fontId="3" fillId="0" borderId="0" xfId="1" applyNumberFormat="1" applyFont="1"/>
    <xf numFmtId="166" fontId="2" fillId="0" borderId="1" xfId="1" applyNumberFormat="1" applyFont="1" applyBorder="1" applyAlignment="1">
      <alignment wrapText="1"/>
    </xf>
    <xf numFmtId="166" fontId="0" fillId="0" borderId="1" xfId="1" applyNumberFormat="1" applyFont="1" applyBorder="1"/>
    <xf numFmtId="166" fontId="0" fillId="0" borderId="1" xfId="1" applyNumberFormat="1" applyFont="1" applyBorder="1" applyAlignment="1">
      <alignment wrapText="1"/>
    </xf>
    <xf numFmtId="166" fontId="2" fillId="0" borderId="2" xfId="1" applyNumberFormat="1" applyFont="1" applyBorder="1"/>
    <xf numFmtId="166" fontId="2" fillId="0" borderId="0" xfId="1" applyNumberFormat="1" applyFont="1" applyBorder="1"/>
    <xf numFmtId="166" fontId="5" fillId="0" borderId="1" xfId="1" applyNumberFormat="1" applyFont="1" applyBorder="1" applyAlignment="1">
      <alignment wrapText="1"/>
    </xf>
    <xf numFmtId="166" fontId="5" fillId="0" borderId="1" xfId="1" applyNumberFormat="1" applyFont="1" applyBorder="1"/>
    <xf numFmtId="166" fontId="0" fillId="0" borderId="3" xfId="1" applyNumberFormat="1" applyFont="1" applyBorder="1"/>
    <xf numFmtId="166" fontId="7" fillId="0" borderId="1" xfId="1" applyNumberFormat="1" applyFont="1" applyBorder="1"/>
    <xf numFmtId="166" fontId="0" fillId="0" borderId="5" xfId="1" applyNumberFormat="1" applyFont="1" applyFill="1" applyBorder="1"/>
    <xf numFmtId="166" fontId="4" fillId="0" borderId="1" xfId="1" applyNumberFormat="1" applyFont="1" applyBorder="1"/>
    <xf numFmtId="167" fontId="2" fillId="0" borderId="1" xfId="2" applyNumberFormat="1" applyFont="1" applyFill="1" applyBorder="1" applyAlignment="1">
      <alignment horizontal="justify" vertical="top"/>
    </xf>
    <xf numFmtId="167" fontId="1" fillId="0" borderId="1" xfId="2" applyNumberFormat="1" applyFont="1" applyFill="1" applyBorder="1" applyAlignment="1">
      <alignment horizontal="justify" vertical="top"/>
    </xf>
    <xf numFmtId="167" fontId="1" fillId="0" borderId="0" xfId="2" applyNumberFormat="1" applyFont="1" applyFill="1" applyAlignment="1">
      <alignment horizontal="justify" vertical="top"/>
    </xf>
    <xf numFmtId="167" fontId="1" fillId="0" borderId="0" xfId="2" applyNumberFormat="1" applyFont="1" applyFill="1" applyAlignment="1">
      <alignment horizontal="left" vertical="top"/>
    </xf>
    <xf numFmtId="167" fontId="1" fillId="0" borderId="0" xfId="2" applyNumberFormat="1" applyFont="1" applyFill="1" applyBorder="1" applyAlignment="1">
      <alignment horizontal="justify" vertical="top"/>
    </xf>
    <xf numFmtId="167" fontId="1" fillId="0" borderId="1" xfId="2" applyNumberFormat="1" applyFont="1" applyBorder="1" applyAlignment="1">
      <alignment horizontal="justify" vertical="top"/>
    </xf>
    <xf numFmtId="167" fontId="4" fillId="0" borderId="0" xfId="2" applyNumberFormat="1" applyFont="1" applyFill="1" applyBorder="1" applyAlignment="1">
      <alignment horizontal="justify" vertical="top"/>
    </xf>
    <xf numFmtId="166" fontId="5" fillId="0" borderId="0" xfId="1" applyNumberFormat="1" applyFont="1" applyBorder="1" applyAlignment="1"/>
    <xf numFmtId="1" fontId="0" fillId="0" borderId="5" xfId="0" applyNumberFormat="1" applyBorder="1"/>
    <xf numFmtId="1" fontId="2" fillId="0" borderId="0" xfId="0" applyNumberFormat="1" applyFont="1"/>
    <xf numFmtId="0" fontId="9" fillId="0" borderId="5" xfId="0" applyFont="1" applyBorder="1"/>
    <xf numFmtId="166" fontId="5" fillId="0" borderId="0" xfId="1" applyNumberFormat="1" applyFont="1" applyBorder="1"/>
    <xf numFmtId="166" fontId="0" fillId="0" borderId="7" xfId="1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/>
    <xf numFmtId="43" fontId="0" fillId="0" borderId="0" xfId="1" applyNumberFormat="1" applyFont="1"/>
    <xf numFmtId="166" fontId="10" fillId="0" borderId="1" xfId="1" applyNumberFormat="1" applyFont="1" applyBorder="1"/>
    <xf numFmtId="43" fontId="0" fillId="0" borderId="0" xfId="0" applyNumberFormat="1"/>
    <xf numFmtId="1" fontId="2" fillId="0" borderId="1" xfId="0" applyNumberFormat="1" applyFont="1" applyBorder="1"/>
    <xf numFmtId="0" fontId="5" fillId="0" borderId="0" xfId="0" applyFont="1" applyAlignment="1">
      <alignment horizontal="center"/>
    </xf>
    <xf numFmtId="166" fontId="5" fillId="0" borderId="6" xfId="1" applyNumberFormat="1" applyFont="1" applyBorder="1" applyAlignment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613335</xdr:colOff>
      <xdr:row>1</xdr:row>
      <xdr:rowOff>0</xdr:rowOff>
    </xdr:from>
    <xdr:ext cx="188501" cy="2740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99735" y="0"/>
          <a:ext cx="18850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3"/>
  <sheetViews>
    <sheetView showGridLines="0" workbookViewId="0" xr3:uid="{AEA406A1-0E4B-5B11-9CD5-51D6E497D94C}"/>
  </sheetViews>
  <sheetFormatPr defaultColWidth="9.140625" defaultRowHeight="14.45"/>
  <cols>
    <col min="1" max="1" width="42.7109375" style="5" customWidth="1"/>
    <col min="2" max="3" width="14.85546875" style="5" customWidth="1"/>
    <col min="4" max="4" width="16.28515625" style="5" customWidth="1"/>
    <col min="5" max="6" width="17.28515625" style="5" bestFit="1" customWidth="1"/>
    <col min="7" max="7" width="18.7109375" style="6" bestFit="1" customWidth="1"/>
    <col min="8" max="8" width="11" style="5" bestFit="1" customWidth="1"/>
    <col min="9" max="9" width="13.28515625" style="5" bestFit="1" customWidth="1"/>
    <col min="10" max="10" width="10" style="5" bestFit="1" customWidth="1"/>
    <col min="11" max="11" width="11" style="5" bestFit="1" customWidth="1"/>
    <col min="12" max="16384" width="9.140625" style="5"/>
  </cols>
  <sheetData>
    <row r="2" spans="1:7" ht="15.6">
      <c r="A2" s="52" t="s">
        <v>0</v>
      </c>
    </row>
    <row r="3" spans="1:7" s="6" customFormat="1">
      <c r="A3" s="6" t="s">
        <v>1</v>
      </c>
    </row>
    <row r="4" spans="1:7" s="6" customFormat="1">
      <c r="G4" s="7" t="s">
        <v>2</v>
      </c>
    </row>
    <row r="5" spans="1:7" s="6" customFormat="1" ht="29.1">
      <c r="A5" s="53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spans="1:7" s="6" customFormat="1">
      <c r="A6" s="54" t="s">
        <v>10</v>
      </c>
      <c r="B6" s="51">
        <f>+'Annexure-1'!K8</f>
        <v>6000000</v>
      </c>
      <c r="C6" s="51">
        <f>+'Annexure-1'!L8</f>
        <v>8280000</v>
      </c>
      <c r="D6" s="51">
        <f>+'Annexure-1'!M8</f>
        <v>28000000</v>
      </c>
      <c r="E6" s="51">
        <f>+'Annexure-1'!N8</f>
        <v>48000000</v>
      </c>
      <c r="F6" s="51">
        <f>+'Annexure-1'!O8</f>
        <v>75600000</v>
      </c>
      <c r="G6" s="7">
        <f>SUM(B6:F6)</f>
        <v>165880000</v>
      </c>
    </row>
    <row r="7" spans="1:7" s="6" customFormat="1">
      <c r="A7" s="54" t="s">
        <v>11</v>
      </c>
      <c r="B7" s="51">
        <f>+'Annexure-1'!K16</f>
        <v>1080000</v>
      </c>
      <c r="C7" s="51">
        <f>+'Annexure-1'!L16</f>
        <v>1400000</v>
      </c>
      <c r="D7" s="51">
        <f>+'Annexure-1'!M16</f>
        <v>1760000</v>
      </c>
      <c r="E7" s="51">
        <f>+'Annexure-1'!N16</f>
        <v>2160000</v>
      </c>
      <c r="F7" s="51">
        <f>+'Annexure-1'!O16</f>
        <v>1200000</v>
      </c>
      <c r="G7" s="7">
        <f>SUM(B7:F7)</f>
        <v>7600000</v>
      </c>
    </row>
    <row r="8" spans="1:7">
      <c r="A8" s="54" t="s">
        <v>12</v>
      </c>
      <c r="B8" s="54">
        <f>'Annexure-1'!K25</f>
        <v>750000</v>
      </c>
      <c r="C8" s="54">
        <f>'Annexure-1'!L25</f>
        <v>1260000</v>
      </c>
      <c r="D8" s="54">
        <f>'Annexure-1'!M25</f>
        <v>1800000</v>
      </c>
      <c r="E8" s="54">
        <f>'Annexure-1'!N25</f>
        <v>4800000</v>
      </c>
      <c r="F8" s="54">
        <f>'Annexure-1'!O25</f>
        <v>10500000</v>
      </c>
      <c r="G8" s="7">
        <f>SUM(B8:F8)</f>
        <v>19110000</v>
      </c>
    </row>
    <row r="9" spans="1:7" s="6" customFormat="1">
      <c r="A9" s="7" t="s">
        <v>13</v>
      </c>
      <c r="B9" s="7">
        <f>SUM(B6:B8)</f>
        <v>7830000</v>
      </c>
      <c r="C9" s="7">
        <f t="shared" ref="C9:G9" si="0">SUM(C6:C8)</f>
        <v>10940000</v>
      </c>
      <c r="D9" s="7">
        <f t="shared" si="0"/>
        <v>31560000</v>
      </c>
      <c r="E9" s="7">
        <f t="shared" si="0"/>
        <v>54960000</v>
      </c>
      <c r="F9" s="7">
        <f t="shared" si="0"/>
        <v>87300000</v>
      </c>
      <c r="G9" s="7">
        <f t="shared" si="0"/>
        <v>192590000</v>
      </c>
    </row>
    <row r="10" spans="1:7">
      <c r="A10" s="54" t="s">
        <v>14</v>
      </c>
      <c r="B10" s="51">
        <f>800*2500</f>
        <v>2000000</v>
      </c>
      <c r="C10" s="51">
        <f>900*2500</f>
        <v>2250000</v>
      </c>
      <c r="D10" s="51">
        <f>950*2500</f>
        <v>2375000</v>
      </c>
      <c r="E10" s="51">
        <f>1000*2500</f>
        <v>2500000</v>
      </c>
      <c r="F10" s="51">
        <f>1100*2500</f>
        <v>2750000</v>
      </c>
      <c r="G10" s="7">
        <f t="shared" ref="G10:G11" si="1">SUM(B10:F10)</f>
        <v>11875000</v>
      </c>
    </row>
    <row r="11" spans="1:7">
      <c r="A11" s="55" t="s">
        <v>15</v>
      </c>
      <c r="B11" s="51">
        <v>550000</v>
      </c>
      <c r="C11" s="51">
        <f>'Annexure-1'!L39</f>
        <v>1000000</v>
      </c>
      <c r="D11" s="51">
        <v>2900000</v>
      </c>
      <c r="E11" s="51">
        <v>5580000</v>
      </c>
      <c r="F11" s="51">
        <v>9750000</v>
      </c>
      <c r="G11" s="7">
        <f t="shared" si="1"/>
        <v>19780000</v>
      </c>
    </row>
    <row r="12" spans="1:7" s="6" customFormat="1">
      <c r="A12" s="53" t="s">
        <v>16</v>
      </c>
      <c r="B12" s="7">
        <f>SUM(B10:B11)</f>
        <v>2550000</v>
      </c>
      <c r="C12" s="7">
        <f t="shared" ref="C12:G12" si="2">SUM(C10:C11)</f>
        <v>3250000</v>
      </c>
      <c r="D12" s="7">
        <f t="shared" si="2"/>
        <v>5275000</v>
      </c>
      <c r="E12" s="7">
        <f t="shared" si="2"/>
        <v>8080000</v>
      </c>
      <c r="F12" s="7">
        <f t="shared" si="2"/>
        <v>12500000</v>
      </c>
      <c r="G12" s="7">
        <f t="shared" si="2"/>
        <v>31655000</v>
      </c>
    </row>
    <row r="13" spans="1:7">
      <c r="A13" s="7" t="s">
        <v>9</v>
      </c>
      <c r="B13" s="7">
        <f>+B9+B12</f>
        <v>10380000</v>
      </c>
      <c r="C13" s="7">
        <f t="shared" ref="C13:G13" si="3">+C9+C12</f>
        <v>14190000</v>
      </c>
      <c r="D13" s="7">
        <f t="shared" si="3"/>
        <v>36835000</v>
      </c>
      <c r="E13" s="7">
        <f t="shared" si="3"/>
        <v>63040000</v>
      </c>
      <c r="F13" s="7">
        <f t="shared" si="3"/>
        <v>99800000</v>
      </c>
      <c r="G13" s="7">
        <f t="shared" si="3"/>
        <v>224245000</v>
      </c>
    </row>
    <row r="14" spans="1:7">
      <c r="A14" s="56" t="s">
        <v>17</v>
      </c>
      <c r="B14" s="57"/>
      <c r="C14" s="57"/>
      <c r="D14" s="57"/>
      <c r="E14" s="57"/>
      <c r="F14" s="57"/>
      <c r="G14" s="57"/>
    </row>
    <row r="15" spans="1:7">
      <c r="A15" s="54" t="s">
        <v>18</v>
      </c>
      <c r="B15" s="51">
        <f>B13*15%</f>
        <v>1557000</v>
      </c>
      <c r="C15" s="51">
        <f t="shared" ref="C15:F15" si="4">C13*15%</f>
        <v>2128500</v>
      </c>
      <c r="D15" s="51">
        <f t="shared" si="4"/>
        <v>5525250</v>
      </c>
      <c r="E15" s="51">
        <f t="shared" si="4"/>
        <v>9456000</v>
      </c>
      <c r="F15" s="51">
        <f t="shared" si="4"/>
        <v>14970000</v>
      </c>
      <c r="G15" s="7">
        <f>SUM(B15:F15)</f>
        <v>33636750</v>
      </c>
    </row>
    <row r="16" spans="1:7">
      <c r="A16" s="54" t="s">
        <v>19</v>
      </c>
      <c r="B16" s="51">
        <f>+B13*20%</f>
        <v>2076000</v>
      </c>
      <c r="C16" s="51">
        <f t="shared" ref="C16:F16" si="5">+C13*20%</f>
        <v>2838000</v>
      </c>
      <c r="D16" s="51">
        <f t="shared" si="5"/>
        <v>7367000</v>
      </c>
      <c r="E16" s="51">
        <f t="shared" si="5"/>
        <v>12608000</v>
      </c>
      <c r="F16" s="51">
        <f t="shared" si="5"/>
        <v>19960000</v>
      </c>
      <c r="G16" s="7">
        <f>SUM(B16:F16)</f>
        <v>44849000</v>
      </c>
    </row>
    <row r="17" spans="1:7">
      <c r="A17" s="7" t="s">
        <v>20</v>
      </c>
      <c r="B17" s="7">
        <f>SUM(B15:B16)</f>
        <v>3633000</v>
      </c>
      <c r="C17" s="7">
        <f t="shared" ref="C17:G17" si="6">SUM(C15:C16)</f>
        <v>4966500</v>
      </c>
      <c r="D17" s="7">
        <f t="shared" si="6"/>
        <v>12892250</v>
      </c>
      <c r="E17" s="7">
        <f t="shared" si="6"/>
        <v>22064000</v>
      </c>
      <c r="F17" s="7">
        <f t="shared" si="6"/>
        <v>34930000</v>
      </c>
      <c r="G17" s="7">
        <f t="shared" si="6"/>
        <v>78485750</v>
      </c>
    </row>
    <row r="18" spans="1:7" ht="15.6">
      <c r="A18" s="58" t="s">
        <v>21</v>
      </c>
      <c r="B18" s="59">
        <f>+B13-B17</f>
        <v>6747000</v>
      </c>
      <c r="C18" s="59">
        <f t="shared" ref="C18:G18" si="7">+C13-C17</f>
        <v>9223500</v>
      </c>
      <c r="D18" s="59">
        <f>+D13-D17</f>
        <v>23942750</v>
      </c>
      <c r="E18" s="59">
        <f t="shared" si="7"/>
        <v>40976000</v>
      </c>
      <c r="F18" s="59">
        <f t="shared" si="7"/>
        <v>64870000</v>
      </c>
      <c r="G18" s="59">
        <f t="shared" si="7"/>
        <v>145759250</v>
      </c>
    </row>
    <row r="19" spans="1:7">
      <c r="A19" s="60"/>
      <c r="B19" s="8"/>
    </row>
    <row r="20" spans="1:7">
      <c r="A20" s="7" t="s">
        <v>22</v>
      </c>
      <c r="B20" s="7" t="s">
        <v>4</v>
      </c>
      <c r="C20" s="7" t="s">
        <v>5</v>
      </c>
      <c r="D20" s="7" t="s">
        <v>6</v>
      </c>
      <c r="E20" s="7" t="s">
        <v>7</v>
      </c>
      <c r="F20" s="7" t="s">
        <v>8</v>
      </c>
      <c r="G20" s="7" t="s">
        <v>9</v>
      </c>
    </row>
    <row r="21" spans="1:7">
      <c r="A21" s="54" t="s">
        <v>23</v>
      </c>
      <c r="B21" s="54">
        <f>10000*12</f>
        <v>120000</v>
      </c>
      <c r="C21" s="54">
        <f>11000*12</f>
        <v>132000</v>
      </c>
      <c r="D21" s="54">
        <f>12100*12</f>
        <v>145200</v>
      </c>
      <c r="E21" s="54">
        <f>13310*12</f>
        <v>159720</v>
      </c>
      <c r="F21" s="54">
        <f>15000*12</f>
        <v>180000</v>
      </c>
      <c r="G21" s="7">
        <f t="shared" ref="G21:G36" si="8">SUM(B21:F21)</f>
        <v>736920</v>
      </c>
    </row>
    <row r="22" spans="1:7">
      <c r="A22" s="54" t="s">
        <v>24</v>
      </c>
      <c r="B22" s="54">
        <f>+'Annexure-1'!K21</f>
        <v>240000</v>
      </c>
      <c r="C22" s="54">
        <f>+'Annexure-1'!L21</f>
        <v>280000</v>
      </c>
      <c r="D22" s="54">
        <f>+'Annexure-1'!M21</f>
        <v>320000</v>
      </c>
      <c r="E22" s="54">
        <f>+'Annexure-1'!N21</f>
        <v>360000</v>
      </c>
      <c r="F22" s="54">
        <f>+'Annexure-1'!O21</f>
        <v>400000</v>
      </c>
      <c r="G22" s="7">
        <f t="shared" si="8"/>
        <v>1600000</v>
      </c>
    </row>
    <row r="23" spans="1:7">
      <c r="A23" s="54" t="s">
        <v>25</v>
      </c>
      <c r="B23" s="54">
        <f>+'Annexure-1'!K30</f>
        <v>30000</v>
      </c>
      <c r="C23" s="54">
        <f>+'Annexure-1'!L30</f>
        <v>45000</v>
      </c>
      <c r="D23" s="54">
        <f>+'Annexure-1'!M30</f>
        <v>60000</v>
      </c>
      <c r="E23" s="54">
        <f>+'Annexure-1'!N30</f>
        <v>150000</v>
      </c>
      <c r="F23" s="54">
        <f>+'Annexure-1'!O30</f>
        <v>350000</v>
      </c>
      <c r="G23" s="7">
        <f t="shared" si="8"/>
        <v>635000</v>
      </c>
    </row>
    <row r="24" spans="1:7">
      <c r="A24" s="54" t="s">
        <v>26</v>
      </c>
      <c r="B24" s="54">
        <v>240000</v>
      </c>
      <c r="C24" s="54">
        <v>276000</v>
      </c>
      <c r="D24" s="54">
        <f>C24*20/100+276000</f>
        <v>331200</v>
      </c>
      <c r="E24" s="54">
        <f>D24*20/100+331200</f>
        <v>397440</v>
      </c>
      <c r="F24" s="54">
        <v>556000</v>
      </c>
      <c r="G24" s="7">
        <f t="shared" si="8"/>
        <v>1800640</v>
      </c>
    </row>
    <row r="25" spans="1:7">
      <c r="A25" s="54" t="s">
        <v>27</v>
      </c>
      <c r="B25" s="54">
        <f>72000+28000+20000</f>
        <v>120000</v>
      </c>
      <c r="C25" s="54">
        <f>120000*15%+120000</f>
        <v>138000</v>
      </c>
      <c r="D25" s="54">
        <f>C25*15/100+138000</f>
        <v>158700</v>
      </c>
      <c r="E25" s="54">
        <f>158700*15/100+158700</f>
        <v>182505</v>
      </c>
      <c r="F25" s="54">
        <f>182505*15/100+182505</f>
        <v>209880.75</v>
      </c>
      <c r="G25" s="7">
        <f t="shared" si="8"/>
        <v>809085.75</v>
      </c>
    </row>
    <row r="26" spans="1:7">
      <c r="A26" s="54" t="s">
        <v>28</v>
      </c>
      <c r="B26" s="54">
        <v>200000</v>
      </c>
      <c r="C26" s="54">
        <f>B26*20/100+200000</f>
        <v>240000</v>
      </c>
      <c r="D26" s="54">
        <f>C26*20/100+240000</f>
        <v>288000</v>
      </c>
      <c r="E26" s="54">
        <f>D26*20/100+288000</f>
        <v>345600</v>
      </c>
      <c r="F26" s="54">
        <f>E26*20/100+345600</f>
        <v>414720</v>
      </c>
      <c r="G26" s="7">
        <f t="shared" si="8"/>
        <v>1488320</v>
      </c>
    </row>
    <row r="27" spans="1:7">
      <c r="A27" s="54" t="s">
        <v>29</v>
      </c>
      <c r="B27" s="54">
        <f>+'Annexure-1'!K35</f>
        <v>2060000</v>
      </c>
      <c r="C27" s="54">
        <f>+'Annexure-1'!L35</f>
        <v>2640800</v>
      </c>
      <c r="D27" s="54">
        <f>+'Annexure-1'!M35</f>
        <v>8240000</v>
      </c>
      <c r="E27" s="54">
        <f>+'Annexure-1'!N35</f>
        <v>13281000</v>
      </c>
      <c r="F27" s="54">
        <f>+'Annexure-1'!O35</f>
        <v>19838000</v>
      </c>
      <c r="G27" s="7">
        <f t="shared" si="8"/>
        <v>46059800</v>
      </c>
    </row>
    <row r="28" spans="1:7">
      <c r="A28" s="54" t="s">
        <v>30</v>
      </c>
      <c r="B28" s="54">
        <v>540000</v>
      </c>
      <c r="C28" s="54">
        <f>B28*20/100+540000</f>
        <v>648000</v>
      </c>
      <c r="D28" s="54">
        <f>C28*20/100+648000</f>
        <v>777600</v>
      </c>
      <c r="E28" s="54">
        <f>D28*20/100+777600</f>
        <v>933120</v>
      </c>
      <c r="F28" s="54">
        <f>E28*20/100+933120</f>
        <v>1119744</v>
      </c>
      <c r="G28" s="7">
        <f t="shared" si="8"/>
        <v>4018464</v>
      </c>
    </row>
    <row r="29" spans="1:7">
      <c r="A29" s="54" t="s">
        <v>31</v>
      </c>
      <c r="B29" s="54">
        <f>180000-80000</f>
        <v>100000</v>
      </c>
      <c r="C29" s="54">
        <f>B29*15/100+100000</f>
        <v>115000</v>
      </c>
      <c r="D29" s="54">
        <f>C29*15/100+115000</f>
        <v>132250</v>
      </c>
      <c r="E29" s="54">
        <f>D29*15/100+132250</f>
        <v>152087.5</v>
      </c>
      <c r="F29" s="54">
        <f>E29*15/100+152088</f>
        <v>174901.125</v>
      </c>
      <c r="G29" s="7">
        <f t="shared" si="8"/>
        <v>674238.625</v>
      </c>
    </row>
    <row r="30" spans="1:7">
      <c r="A30" s="54" t="s">
        <v>32</v>
      </c>
      <c r="B30" s="54">
        <v>80000</v>
      </c>
      <c r="C30" s="54">
        <v>100000</v>
      </c>
      <c r="D30" s="54">
        <v>125000</v>
      </c>
      <c r="E30" s="54">
        <v>150000</v>
      </c>
      <c r="F30" s="54">
        <v>175000</v>
      </c>
      <c r="G30" s="7">
        <f t="shared" si="8"/>
        <v>630000</v>
      </c>
    </row>
    <row r="31" spans="1:7">
      <c r="A31" s="61" t="s">
        <v>33</v>
      </c>
      <c r="B31" s="54">
        <v>150000</v>
      </c>
      <c r="C31" s="54">
        <v>200000</v>
      </c>
      <c r="D31" s="54">
        <v>225000</v>
      </c>
      <c r="E31" s="54">
        <v>250000</v>
      </c>
      <c r="F31" s="54">
        <v>300000</v>
      </c>
      <c r="G31" s="7">
        <f t="shared" si="8"/>
        <v>1125000</v>
      </c>
    </row>
    <row r="32" spans="1:7">
      <c r="A32" s="61" t="s">
        <v>34</v>
      </c>
      <c r="B32" s="54">
        <f>1200000*14/100</f>
        <v>168000</v>
      </c>
      <c r="C32" s="54">
        <f>Sheet2!E5+5600</f>
        <v>80266.759999999995</v>
      </c>
      <c r="D32" s="54">
        <f>Sheet2!F5+5600</f>
        <v>42934</v>
      </c>
      <c r="E32" s="54">
        <f>Sheet2!D10+5600</f>
        <v>117600</v>
      </c>
      <c r="F32" s="54">
        <f>Sheet2!E10</f>
        <v>74666.759999999995</v>
      </c>
      <c r="G32" s="7">
        <f t="shared" si="8"/>
        <v>483467.52000000002</v>
      </c>
    </row>
    <row r="33" spans="1:9">
      <c r="A33" s="61" t="s">
        <v>35</v>
      </c>
      <c r="B33" s="54">
        <v>100000</v>
      </c>
      <c r="C33" s="54">
        <v>120000</v>
      </c>
      <c r="D33" s="54">
        <v>135000</v>
      </c>
      <c r="E33" s="54">
        <v>150000</v>
      </c>
      <c r="F33" s="54">
        <v>150000</v>
      </c>
      <c r="G33" s="7">
        <f t="shared" si="8"/>
        <v>655000</v>
      </c>
    </row>
    <row r="34" spans="1:9">
      <c r="A34" s="61" t="s">
        <v>36</v>
      </c>
      <c r="B34" s="54">
        <f>Sheet4!G9</f>
        <v>144860.51250000001</v>
      </c>
      <c r="C34" s="54">
        <f>Sheet4!G15</f>
        <v>438002.69118374999</v>
      </c>
      <c r="D34" s="54">
        <f>Sheet4!G22</f>
        <v>1107768.1442122061</v>
      </c>
      <c r="E34" s="54">
        <f>Sheet4!G28</f>
        <v>1914900.2758759425</v>
      </c>
      <c r="F34" s="54">
        <f>Sheet4!G35</f>
        <v>1756147.1597968261</v>
      </c>
      <c r="G34" s="7">
        <f>B34+C34+D34+E34+F34</f>
        <v>5361678.783568725</v>
      </c>
    </row>
    <row r="35" spans="1:9">
      <c r="A35" s="61" t="s">
        <v>37</v>
      </c>
      <c r="B35" s="76">
        <v>200000</v>
      </c>
      <c r="C35" s="54">
        <v>850000</v>
      </c>
      <c r="D35" s="54">
        <v>3900000</v>
      </c>
      <c r="E35" s="54">
        <v>7200681</v>
      </c>
      <c r="F35" s="54">
        <v>12573872</v>
      </c>
      <c r="G35" s="7">
        <f>B35+C35+D35+E35+F35</f>
        <v>24724553</v>
      </c>
    </row>
    <row r="36" spans="1:9">
      <c r="A36" s="54" t="s">
        <v>38</v>
      </c>
      <c r="B36" s="62">
        <v>500000</v>
      </c>
      <c r="C36" s="54">
        <v>0</v>
      </c>
      <c r="D36" s="54">
        <v>0</v>
      </c>
      <c r="E36" s="54"/>
      <c r="F36" s="54"/>
      <c r="G36" s="7">
        <f t="shared" si="8"/>
        <v>500000</v>
      </c>
    </row>
    <row r="37" spans="1:9" ht="15.6">
      <c r="A37" s="59" t="s">
        <v>39</v>
      </c>
      <c r="B37" s="59">
        <f>SUM(B21:B36)</f>
        <v>4992860.5125000002</v>
      </c>
      <c r="C37" s="59">
        <f>SUM(C21:C36)</f>
        <v>6303069.4511837494</v>
      </c>
      <c r="D37" s="59">
        <f>SUM(D21:D36)</f>
        <v>15988652.144212207</v>
      </c>
      <c r="E37" s="59">
        <f>SUM(E21:E36)</f>
        <v>25744653.775875941</v>
      </c>
      <c r="F37" s="59">
        <f>SUM(F21:F36)</f>
        <v>38272931.794796824</v>
      </c>
      <c r="G37" s="59">
        <f>SUM(G20:G36)</f>
        <v>91302167.678568721</v>
      </c>
    </row>
    <row r="38" spans="1:9" ht="15.6">
      <c r="A38" s="75"/>
      <c r="B38" s="75"/>
      <c r="C38" s="75"/>
      <c r="D38" s="75"/>
      <c r="E38" s="75"/>
      <c r="F38" s="75"/>
      <c r="G38" s="75"/>
    </row>
    <row r="39" spans="1:9">
      <c r="I39" s="79"/>
    </row>
    <row r="40" spans="1:9" s="6" customFormat="1" ht="17.100000000000001">
      <c r="A40" s="63" t="s">
        <v>40</v>
      </c>
      <c r="B40" s="63">
        <f t="shared" ref="B40:G40" si="9">B18-B37</f>
        <v>1754139.4874999998</v>
      </c>
      <c r="C40" s="63">
        <f t="shared" si="9"/>
        <v>2920430.5488162506</v>
      </c>
      <c r="D40" s="63">
        <f t="shared" si="9"/>
        <v>7954097.8557877932</v>
      </c>
      <c r="E40" s="63">
        <f t="shared" si="9"/>
        <v>15231346.224124059</v>
      </c>
      <c r="F40" s="63">
        <f t="shared" si="9"/>
        <v>26597068.205203176</v>
      </c>
      <c r="G40" s="63">
        <f t="shared" si="9"/>
        <v>54457082.321431279</v>
      </c>
    </row>
    <row r="41" spans="1:9">
      <c r="A41" s="7" t="s">
        <v>41</v>
      </c>
      <c r="B41" s="7">
        <v>200000</v>
      </c>
      <c r="C41" s="7">
        <v>850000</v>
      </c>
      <c r="D41" s="54">
        <f>D35</f>
        <v>3900000</v>
      </c>
      <c r="E41" s="54">
        <f>E35</f>
        <v>7200681</v>
      </c>
      <c r="F41" s="54">
        <f>F35</f>
        <v>12573872</v>
      </c>
      <c r="G41" s="7">
        <f t="shared" ref="G41:G43" si="10">SUM(B41:F41)</f>
        <v>24724553</v>
      </c>
      <c r="I41" s="80"/>
    </row>
    <row r="42" spans="1:9">
      <c r="A42" s="7" t="s">
        <v>42</v>
      </c>
      <c r="B42" s="54">
        <f>B34</f>
        <v>144860.51250000001</v>
      </c>
      <c r="C42" s="54">
        <f>C34</f>
        <v>438002.69118374999</v>
      </c>
      <c r="D42" s="54">
        <f>D34</f>
        <v>1107768.1442122061</v>
      </c>
      <c r="E42" s="54">
        <f>E34</f>
        <v>1914900.2758759425</v>
      </c>
      <c r="F42" s="54">
        <f>F34</f>
        <v>1756147.1597968261</v>
      </c>
      <c r="G42" s="7">
        <f>SUM(B42:F42)</f>
        <v>5361678.783568725</v>
      </c>
    </row>
    <row r="43" spans="1:9" ht="18.600000000000001">
      <c r="A43" s="7" t="s">
        <v>43</v>
      </c>
      <c r="B43" s="81">
        <f>B40+B41+B42</f>
        <v>2099000</v>
      </c>
      <c r="C43" s="81">
        <f>C40+C41+C42</f>
        <v>4208433.24</v>
      </c>
      <c r="D43" s="81">
        <f>D40+D41+D42</f>
        <v>12961866</v>
      </c>
      <c r="E43" s="81">
        <f>E40+E41+E42</f>
        <v>24346927.5</v>
      </c>
      <c r="F43" s="81">
        <f>F40+F41+F42</f>
        <v>40927087.365000002</v>
      </c>
      <c r="G43" s="81">
        <f t="shared" si="10"/>
        <v>84543314.105000004</v>
      </c>
    </row>
    <row r="44" spans="1:9">
      <c r="I44" s="80"/>
    </row>
    <row r="45" spans="1:9">
      <c r="E45" s="80"/>
      <c r="F45" s="80"/>
    </row>
    <row r="49" spans="1:6">
      <c r="A49" s="5" t="s">
        <v>44</v>
      </c>
    </row>
    <row r="50" spans="1:6">
      <c r="A50" s="5" t="s">
        <v>45</v>
      </c>
    </row>
    <row r="51" spans="1:6">
      <c r="D51" s="5">
        <f>C51+C52-C53</f>
        <v>0</v>
      </c>
    </row>
    <row r="53" spans="1:6">
      <c r="F53" s="5">
        <f>F51+F52*33/100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41"/>
  <sheetViews>
    <sheetView showGridLines="0" tabSelected="1" zoomScale="85" zoomScaleNormal="85" workbookViewId="0" xr3:uid="{958C4451-9541-5A59-BF78-D2F731DF1C81}">
      <selection activeCell="L8" sqref="L8"/>
    </sheetView>
  </sheetViews>
  <sheetFormatPr defaultColWidth="9.140625" defaultRowHeight="20.100000000000001" customHeight="1"/>
  <cols>
    <col min="1" max="1" width="4.140625" style="66" customWidth="1"/>
    <col min="2" max="2" width="31.42578125" style="66" hidden="1" customWidth="1"/>
    <col min="3" max="3" width="9.42578125" style="66" hidden="1" customWidth="1"/>
    <col min="4" max="4" width="7.28515625" style="66" hidden="1" customWidth="1"/>
    <col min="5" max="5" width="10.28515625" style="66" hidden="1" customWidth="1"/>
    <col min="6" max="6" width="11.28515625" style="66" hidden="1" customWidth="1"/>
    <col min="7" max="7" width="12.85546875" style="66" hidden="1" customWidth="1"/>
    <col min="8" max="8" width="3.42578125" style="66" customWidth="1"/>
    <col min="9" max="9" width="5.7109375" style="66" bestFit="1" customWidth="1"/>
    <col min="10" max="10" width="34.5703125" style="66" customWidth="1"/>
    <col min="11" max="11" width="12.7109375" style="66" bestFit="1" customWidth="1"/>
    <col min="12" max="14" width="13.85546875" style="66" bestFit="1" customWidth="1"/>
    <col min="15" max="15" width="15" style="66" bestFit="1" customWidth="1"/>
    <col min="16" max="16" width="9.85546875" style="66" bestFit="1" customWidth="1"/>
    <col min="17" max="17" width="13.85546875" style="66" bestFit="1" customWidth="1"/>
    <col min="18" max="18" width="11.28515625" style="66" bestFit="1" customWidth="1"/>
    <col min="19" max="16384" width="9.140625" style="66"/>
  </cols>
  <sheetData>
    <row r="2" spans="9:22" s="68" customFormat="1" ht="20.100000000000001" customHeight="1">
      <c r="J2" s="70" t="s">
        <v>46</v>
      </c>
      <c r="V2" s="68">
        <f>150%</f>
        <v>1.5</v>
      </c>
    </row>
    <row r="3" spans="9:22" ht="20.100000000000001" customHeight="1">
      <c r="I3" s="64">
        <v>1</v>
      </c>
      <c r="J3" s="64" t="s">
        <v>47</v>
      </c>
      <c r="K3" s="64" t="s">
        <v>4</v>
      </c>
      <c r="L3" s="64" t="s">
        <v>5</v>
      </c>
      <c r="M3" s="64" t="s">
        <v>6</v>
      </c>
      <c r="N3" s="64" t="s">
        <v>7</v>
      </c>
      <c r="O3" s="65" t="s">
        <v>8</v>
      </c>
    </row>
    <row r="4" spans="9:22" ht="20.100000000000001" customHeight="1">
      <c r="I4" s="65"/>
      <c r="J4" s="65" t="s">
        <v>48</v>
      </c>
      <c r="K4" s="65">
        <v>6</v>
      </c>
      <c r="L4" s="65">
        <v>8</v>
      </c>
      <c r="M4" s="65">
        <v>10</v>
      </c>
      <c r="N4" s="65">
        <v>12</v>
      </c>
      <c r="O4" s="65">
        <v>14</v>
      </c>
    </row>
    <row r="5" spans="9:22" ht="20.100000000000001" customHeight="1">
      <c r="I5" s="65"/>
      <c r="J5" s="65" t="s">
        <v>49</v>
      </c>
      <c r="K5" s="65">
        <v>400</v>
      </c>
      <c r="L5" s="65">
        <v>600</v>
      </c>
      <c r="M5" s="65">
        <v>800</v>
      </c>
      <c r="N5" s="65">
        <v>1000</v>
      </c>
      <c r="O5" s="65">
        <v>1200</v>
      </c>
    </row>
    <row r="6" spans="9:22" ht="20.100000000000001" customHeight="1">
      <c r="I6" s="65"/>
      <c r="J6" s="65" t="s">
        <v>50</v>
      </c>
      <c r="K6" s="65">
        <f>K4*K5</f>
        <v>2400</v>
      </c>
      <c r="L6" s="65">
        <f>K6*15/100+2400</f>
        <v>2760</v>
      </c>
      <c r="M6" s="65">
        <f>M4*M5</f>
        <v>8000</v>
      </c>
      <c r="N6" s="65">
        <f>N4*N5</f>
        <v>12000</v>
      </c>
      <c r="O6" s="65">
        <f>O4*O5</f>
        <v>16800</v>
      </c>
    </row>
    <row r="7" spans="9:22" ht="20.100000000000001" customHeight="1">
      <c r="I7" s="65"/>
      <c r="J7" s="65" t="s">
        <v>51</v>
      </c>
      <c r="K7" s="65">
        <v>2500</v>
      </c>
      <c r="L7" s="65">
        <v>3000</v>
      </c>
      <c r="M7" s="65">
        <v>3500</v>
      </c>
      <c r="N7" s="65">
        <v>4000</v>
      </c>
      <c r="O7" s="65">
        <v>4500</v>
      </c>
    </row>
    <row r="8" spans="9:22" ht="20.100000000000001" customHeight="1">
      <c r="I8" s="65"/>
      <c r="J8" s="65" t="s">
        <v>52</v>
      </c>
      <c r="K8" s="65">
        <f>K6*K7</f>
        <v>6000000</v>
      </c>
      <c r="L8" s="65">
        <f>L6*L7</f>
        <v>8280000</v>
      </c>
      <c r="M8" s="65">
        <f>M6*M7</f>
        <v>28000000</v>
      </c>
      <c r="N8" s="65">
        <f>N6*N7</f>
        <v>48000000</v>
      </c>
      <c r="O8" s="65">
        <f>O6*O7</f>
        <v>75600000</v>
      </c>
    </row>
    <row r="9" spans="9:22" ht="20.100000000000001" customHeight="1">
      <c r="I9" s="64"/>
      <c r="J9" s="64" t="s">
        <v>53</v>
      </c>
      <c r="K9" s="64"/>
      <c r="L9" s="64"/>
      <c r="M9" s="64"/>
      <c r="N9" s="64"/>
      <c r="O9" s="64"/>
    </row>
    <row r="10" spans="9:22" ht="20.100000000000001" customHeight="1">
      <c r="I10" s="64"/>
      <c r="J10" s="65" t="s">
        <v>54</v>
      </c>
      <c r="K10" s="65">
        <f>K8*15%</f>
        <v>900000</v>
      </c>
      <c r="L10" s="65">
        <f>L8*15%</f>
        <v>1242000</v>
      </c>
      <c r="M10" s="65">
        <f>M8*15%</f>
        <v>4200000</v>
      </c>
      <c r="N10" s="65">
        <f>N8*15%</f>
        <v>7200000</v>
      </c>
      <c r="O10" s="65">
        <f>O8*15%</f>
        <v>11340000</v>
      </c>
    </row>
    <row r="11" spans="9:22" ht="20.100000000000001" customHeight="1">
      <c r="I11" s="64"/>
      <c r="J11" s="65" t="s">
        <v>55</v>
      </c>
      <c r="K11" s="65">
        <f>+K8*20%</f>
        <v>1200000</v>
      </c>
      <c r="L11" s="65">
        <f>L8*20%</f>
        <v>1656000</v>
      </c>
      <c r="M11" s="65">
        <f>M8*20%</f>
        <v>5600000</v>
      </c>
      <c r="N11" s="65">
        <f>N8*20%</f>
        <v>9600000</v>
      </c>
      <c r="O11" s="65">
        <f>O8*20%</f>
        <v>15120000</v>
      </c>
    </row>
    <row r="12" spans="9:22" ht="20.100000000000001" customHeight="1">
      <c r="I12" s="64"/>
      <c r="J12" s="65" t="s">
        <v>56</v>
      </c>
      <c r="K12" s="65">
        <f>(K6/300)*12*20000</f>
        <v>1920000</v>
      </c>
      <c r="L12" s="65">
        <f>(L6/300)*12*22000</f>
        <v>2428800</v>
      </c>
      <c r="M12" s="65">
        <f>(M6/300)*12*25000</f>
        <v>8000000</v>
      </c>
      <c r="N12" s="65">
        <f>(N6/300)*12*27000</f>
        <v>12960000</v>
      </c>
      <c r="O12" s="65">
        <f>(O6/300)*12*29000</f>
        <v>19488000</v>
      </c>
    </row>
    <row r="13" spans="9:22" ht="20.100000000000001" customHeight="1">
      <c r="I13" s="64">
        <v>2</v>
      </c>
      <c r="J13" s="64" t="s">
        <v>57</v>
      </c>
      <c r="K13" s="64" t="s">
        <v>4</v>
      </c>
      <c r="L13" s="64" t="s">
        <v>5</v>
      </c>
      <c r="M13" s="64" t="s">
        <v>6</v>
      </c>
      <c r="N13" s="64" t="s">
        <v>7</v>
      </c>
      <c r="O13" s="65" t="s">
        <v>8</v>
      </c>
    </row>
    <row r="14" spans="9:22" ht="20.100000000000001" customHeight="1">
      <c r="I14" s="65"/>
      <c r="J14" s="65" t="s">
        <v>49</v>
      </c>
      <c r="K14" s="65">
        <v>600</v>
      </c>
      <c r="L14" s="65">
        <v>700</v>
      </c>
      <c r="M14" s="65">
        <v>800</v>
      </c>
      <c r="N14" s="65">
        <v>900</v>
      </c>
      <c r="O14" s="65">
        <v>1000</v>
      </c>
    </row>
    <row r="15" spans="9:22" ht="20.100000000000001" customHeight="1">
      <c r="I15" s="65"/>
      <c r="J15" s="65" t="s">
        <v>58</v>
      </c>
      <c r="K15" s="65">
        <v>1800</v>
      </c>
      <c r="L15" s="65">
        <v>2000</v>
      </c>
      <c r="M15" s="65">
        <v>2200</v>
      </c>
      <c r="N15" s="65">
        <v>2400</v>
      </c>
      <c r="O15" s="65">
        <v>1200</v>
      </c>
    </row>
    <row r="16" spans="9:22" ht="20.100000000000001" customHeight="1">
      <c r="I16" s="65"/>
      <c r="J16" s="65" t="s">
        <v>59</v>
      </c>
      <c r="K16" s="65">
        <f>K14*K15</f>
        <v>1080000</v>
      </c>
      <c r="L16" s="65">
        <f>L14*L15</f>
        <v>1400000</v>
      </c>
      <c r="M16" s="65">
        <f>M14*M15</f>
        <v>1760000</v>
      </c>
      <c r="N16" s="65">
        <f>N14*N15</f>
        <v>2160000</v>
      </c>
      <c r="O16" s="65">
        <f>O14*O15</f>
        <v>1200000</v>
      </c>
    </row>
    <row r="17" spans="9:16" ht="20.100000000000001" customHeight="1">
      <c r="I17" s="65"/>
      <c r="J17" s="64" t="s">
        <v>53</v>
      </c>
      <c r="K17" s="65"/>
      <c r="L17" s="65"/>
      <c r="M17" s="65"/>
      <c r="N17" s="65"/>
      <c r="O17" s="65"/>
    </row>
    <row r="18" spans="9:16" ht="20.100000000000001" customHeight="1">
      <c r="I18" s="65"/>
      <c r="J18" s="65" t="s">
        <v>54</v>
      </c>
      <c r="K18" s="65">
        <f>K16*15%</f>
        <v>162000</v>
      </c>
      <c r="L18" s="65">
        <f>L16*15%</f>
        <v>210000</v>
      </c>
      <c r="M18" s="65">
        <f>M16*15%</f>
        <v>264000</v>
      </c>
      <c r="N18" s="65">
        <f>N16*15%</f>
        <v>324000</v>
      </c>
      <c r="O18" s="65">
        <f>O16*15%</f>
        <v>180000</v>
      </c>
    </row>
    <row r="19" spans="9:16" ht="20.100000000000001" customHeight="1">
      <c r="I19" s="65"/>
      <c r="J19" s="65" t="s">
        <v>55</v>
      </c>
      <c r="K19" s="65">
        <f>+K16*20%</f>
        <v>216000</v>
      </c>
      <c r="L19" s="65">
        <f>+L16*20%</f>
        <v>280000</v>
      </c>
      <c r="M19" s="65">
        <f>+M16*20%</f>
        <v>352000</v>
      </c>
      <c r="N19" s="65">
        <f>+N16*20%</f>
        <v>432000</v>
      </c>
      <c r="O19" s="65">
        <f>+O16*20%</f>
        <v>240000</v>
      </c>
    </row>
    <row r="20" spans="9:16" ht="20.100000000000001" customHeight="1">
      <c r="I20" s="65"/>
      <c r="J20" s="65" t="s">
        <v>56</v>
      </c>
      <c r="K20" s="65">
        <f>(K14/200)*30000</f>
        <v>90000</v>
      </c>
      <c r="L20" s="65">
        <f>(L14/200)*32000</f>
        <v>112000</v>
      </c>
      <c r="M20" s="65">
        <f>(M14/200)*35000</f>
        <v>140000</v>
      </c>
      <c r="N20" s="65">
        <f>(N14/200)*38000</f>
        <v>171000</v>
      </c>
      <c r="O20" s="65">
        <f>(O14/200)*40000</f>
        <v>200000</v>
      </c>
      <c r="P20" s="67"/>
    </row>
    <row r="21" spans="9:16" ht="20.100000000000001" customHeight="1">
      <c r="I21" s="65"/>
      <c r="J21" s="65" t="s">
        <v>60</v>
      </c>
      <c r="K21" s="65">
        <f>400*K14</f>
        <v>240000</v>
      </c>
      <c r="L21" s="65">
        <f t="shared" ref="L21:O21" si="0">400*L14</f>
        <v>280000</v>
      </c>
      <c r="M21" s="65">
        <f t="shared" si="0"/>
        <v>320000</v>
      </c>
      <c r="N21" s="65">
        <f t="shared" si="0"/>
        <v>360000</v>
      </c>
      <c r="O21" s="65">
        <f t="shared" si="0"/>
        <v>400000</v>
      </c>
      <c r="P21" s="67"/>
    </row>
    <row r="22" spans="9:16" ht="20.100000000000001" customHeight="1">
      <c r="I22" s="64">
        <v>3</v>
      </c>
      <c r="J22" s="64" t="s">
        <v>61</v>
      </c>
      <c r="K22" s="64" t="s">
        <v>4</v>
      </c>
      <c r="L22" s="64" t="s">
        <v>5</v>
      </c>
      <c r="M22" s="64" t="s">
        <v>6</v>
      </c>
      <c r="N22" s="64" t="s">
        <v>7</v>
      </c>
      <c r="O22" s="64" t="s">
        <v>8</v>
      </c>
    </row>
    <row r="23" spans="9:16" ht="20.100000000000001" customHeight="1">
      <c r="I23" s="65"/>
      <c r="J23" s="65" t="s">
        <v>49</v>
      </c>
      <c r="K23" s="65">
        <v>300</v>
      </c>
      <c r="L23" s="65">
        <f>K23*150%</f>
        <v>450</v>
      </c>
      <c r="M23" s="65">
        <f>K23*200%</f>
        <v>600</v>
      </c>
      <c r="N23" s="65">
        <f>M23*250%</f>
        <v>1500</v>
      </c>
      <c r="O23" s="65">
        <v>3500</v>
      </c>
    </row>
    <row r="24" spans="9:16" ht="20.100000000000001" customHeight="1">
      <c r="I24" s="65"/>
      <c r="J24" s="65" t="s">
        <v>58</v>
      </c>
      <c r="K24" s="65">
        <v>2500</v>
      </c>
      <c r="L24" s="65">
        <v>2800</v>
      </c>
      <c r="M24" s="65">
        <v>3000</v>
      </c>
      <c r="N24" s="65">
        <v>3200</v>
      </c>
      <c r="O24" s="65">
        <v>3000</v>
      </c>
    </row>
    <row r="25" spans="9:16" ht="20.100000000000001" customHeight="1">
      <c r="I25" s="65"/>
      <c r="J25" s="65" t="s">
        <v>62</v>
      </c>
      <c r="K25" s="65">
        <f>K24*K23</f>
        <v>750000</v>
      </c>
      <c r="L25" s="65">
        <f>L24*L23</f>
        <v>1260000</v>
      </c>
      <c r="M25" s="65">
        <f>M24*M23</f>
        <v>1800000</v>
      </c>
      <c r="N25" s="65">
        <f>N24*N23</f>
        <v>4800000</v>
      </c>
      <c r="O25" s="65">
        <f>O24*O23</f>
        <v>10500000</v>
      </c>
    </row>
    <row r="26" spans="9:16" ht="20.100000000000001" customHeight="1">
      <c r="I26" s="65"/>
      <c r="J26" s="65" t="s">
        <v>53</v>
      </c>
      <c r="K26" s="65"/>
      <c r="L26" s="65"/>
      <c r="M26" s="65"/>
      <c r="N26" s="65"/>
      <c r="O26" s="65"/>
    </row>
    <row r="27" spans="9:16" ht="20.100000000000001" customHeight="1">
      <c r="I27" s="65"/>
      <c r="J27" s="65" t="s">
        <v>54</v>
      </c>
      <c r="K27" s="65">
        <f>K25*15%</f>
        <v>112500</v>
      </c>
      <c r="L27" s="65">
        <f>L25*15%</f>
        <v>189000</v>
      </c>
      <c r="M27" s="65">
        <f>M25*15%</f>
        <v>270000</v>
      </c>
      <c r="N27" s="65">
        <f>N25*15%</f>
        <v>720000</v>
      </c>
      <c r="O27" s="65">
        <f>O25*15%</f>
        <v>1575000</v>
      </c>
    </row>
    <row r="28" spans="9:16" ht="20.100000000000001" customHeight="1">
      <c r="I28" s="65"/>
      <c r="J28" s="65" t="s">
        <v>55</v>
      </c>
      <c r="K28" s="65">
        <f>+K25*20%</f>
        <v>150000</v>
      </c>
      <c r="L28" s="65">
        <f>+L25*20%</f>
        <v>252000</v>
      </c>
      <c r="M28" s="65">
        <f>+M25*20%</f>
        <v>360000</v>
      </c>
      <c r="N28" s="65">
        <f>+N25*20%</f>
        <v>960000</v>
      </c>
      <c r="O28" s="65">
        <f>+O25*20%</f>
        <v>2100000</v>
      </c>
    </row>
    <row r="29" spans="9:16" ht="20.100000000000001" customHeight="1">
      <c r="I29" s="65"/>
      <c r="J29" s="65" t="s">
        <v>56</v>
      </c>
      <c r="K29" s="65">
        <f>1*2*25000</f>
        <v>50000</v>
      </c>
      <c r="L29" s="65">
        <f>2*2*25000</f>
        <v>100000</v>
      </c>
      <c r="M29" s="65">
        <f>2*2*25000</f>
        <v>100000</v>
      </c>
      <c r="N29" s="65">
        <f>3*2*25000</f>
        <v>150000</v>
      </c>
      <c r="O29" s="65">
        <f>3*2*25000</f>
        <v>150000</v>
      </c>
      <c r="P29" s="67"/>
    </row>
    <row r="30" spans="9:16" ht="20.100000000000001" customHeight="1">
      <c r="I30" s="65"/>
      <c r="J30" s="65" t="s">
        <v>60</v>
      </c>
      <c r="K30" s="65">
        <f>100*K23</f>
        <v>30000</v>
      </c>
      <c r="L30" s="65">
        <f t="shared" ref="L30:M30" si="1">100*L23</f>
        <v>45000</v>
      </c>
      <c r="M30" s="65">
        <f t="shared" si="1"/>
        <v>60000</v>
      </c>
      <c r="N30" s="65">
        <f>100*N23</f>
        <v>150000</v>
      </c>
      <c r="O30" s="65">
        <f>100*O23</f>
        <v>350000</v>
      </c>
      <c r="P30" s="67"/>
    </row>
    <row r="31" spans="9:16" ht="20.100000000000001" customHeight="1">
      <c r="I31" s="64">
        <v>4</v>
      </c>
      <c r="J31" s="64" t="s">
        <v>63</v>
      </c>
      <c r="K31" s="64" t="s">
        <v>4</v>
      </c>
      <c r="L31" s="64" t="s">
        <v>5</v>
      </c>
      <c r="M31" s="64" t="s">
        <v>6</v>
      </c>
      <c r="N31" s="64" t="s">
        <v>7</v>
      </c>
      <c r="O31" s="64" t="s">
        <v>8</v>
      </c>
    </row>
    <row r="32" spans="9:16" ht="20.100000000000001" customHeight="1">
      <c r="I32" s="65"/>
      <c r="J32" s="65" t="s">
        <v>62</v>
      </c>
      <c r="K32" s="65">
        <f>+K8+K16+K25</f>
        <v>7830000</v>
      </c>
      <c r="L32" s="65">
        <f>+L8+L16+L25</f>
        <v>10940000</v>
      </c>
      <c r="M32" s="65">
        <f>+M8+M16+M25</f>
        <v>31560000</v>
      </c>
      <c r="N32" s="65">
        <f>+N8+N16+N25</f>
        <v>54960000</v>
      </c>
      <c r="O32" s="65">
        <f>+O8+O16+O25</f>
        <v>87300000</v>
      </c>
    </row>
    <row r="33" spans="1:16" ht="20.100000000000001" customHeight="1">
      <c r="I33" s="65"/>
      <c r="J33" s="65" t="s">
        <v>54</v>
      </c>
      <c r="K33" s="65">
        <f t="shared" ref="K33:O35" si="2">+K27+K18+K10</f>
        <v>1174500</v>
      </c>
      <c r="L33" s="65">
        <f t="shared" si="2"/>
        <v>1641000</v>
      </c>
      <c r="M33" s="65">
        <f t="shared" si="2"/>
        <v>4734000</v>
      </c>
      <c r="N33" s="65">
        <f t="shared" si="2"/>
        <v>8244000</v>
      </c>
      <c r="O33" s="65">
        <f t="shared" si="2"/>
        <v>13095000</v>
      </c>
    </row>
    <row r="34" spans="1:16" ht="20.100000000000001" customHeight="1">
      <c r="I34" s="65"/>
      <c r="J34" s="65" t="s">
        <v>55</v>
      </c>
      <c r="K34" s="65">
        <f t="shared" si="2"/>
        <v>1566000</v>
      </c>
      <c r="L34" s="65">
        <f t="shared" si="2"/>
        <v>2188000</v>
      </c>
      <c r="M34" s="65">
        <f t="shared" si="2"/>
        <v>6312000</v>
      </c>
      <c r="N34" s="65">
        <f t="shared" si="2"/>
        <v>10992000</v>
      </c>
      <c r="O34" s="65">
        <f t="shared" si="2"/>
        <v>17460000</v>
      </c>
    </row>
    <row r="35" spans="1:16" ht="20.100000000000001" customHeight="1">
      <c r="I35" s="65"/>
      <c r="J35" s="65" t="s">
        <v>56</v>
      </c>
      <c r="K35" s="65">
        <f t="shared" si="2"/>
        <v>2060000</v>
      </c>
      <c r="L35" s="65">
        <f t="shared" si="2"/>
        <v>2640800</v>
      </c>
      <c r="M35" s="65">
        <f t="shared" si="2"/>
        <v>8240000</v>
      </c>
      <c r="N35" s="65">
        <f t="shared" si="2"/>
        <v>13281000</v>
      </c>
      <c r="O35" s="65">
        <f t="shared" si="2"/>
        <v>19838000</v>
      </c>
    </row>
    <row r="36" spans="1:16" ht="20.100000000000001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</row>
    <row r="37" spans="1:16" ht="20.100000000000001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1:16" ht="20.100000000000001" customHeight="1">
      <c r="A38" s="68"/>
      <c r="B38" s="68"/>
      <c r="C38" s="68"/>
      <c r="D38" s="68"/>
      <c r="E38" s="68"/>
      <c r="F38" s="68"/>
      <c r="G38" s="68"/>
      <c r="H38" s="68"/>
      <c r="I38" s="65"/>
      <c r="J38" s="69" t="s">
        <v>64</v>
      </c>
      <c r="K38" s="65">
        <v>487200</v>
      </c>
      <c r="L38" s="65">
        <v>668000</v>
      </c>
      <c r="M38" s="65">
        <v>1288800</v>
      </c>
      <c r="N38" s="65">
        <v>1738800</v>
      </c>
      <c r="O38" s="69">
        <v>2277000</v>
      </c>
      <c r="P38" s="68"/>
    </row>
    <row r="39" spans="1:16" ht="20.100000000000001" customHeight="1">
      <c r="A39" s="68"/>
      <c r="B39" s="68"/>
      <c r="C39" s="68"/>
      <c r="D39" s="68"/>
      <c r="E39" s="68"/>
      <c r="F39" s="68"/>
      <c r="G39" s="68"/>
      <c r="H39" s="68"/>
      <c r="I39" s="65"/>
      <c r="J39" s="69" t="s">
        <v>65</v>
      </c>
      <c r="K39" s="65">
        <v>550000</v>
      </c>
      <c r="L39" s="65">
        <v>1000000</v>
      </c>
      <c r="M39" s="65">
        <v>2900000</v>
      </c>
      <c r="N39" s="65">
        <v>5580000</v>
      </c>
      <c r="O39" s="69">
        <v>9750000</v>
      </c>
      <c r="P39" s="68"/>
    </row>
    <row r="40" spans="1:16" ht="20.100000000000001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1:16" ht="20.100000000000001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</sheetData>
  <printOptions horizontalCentered="1" verticalCentered="1"/>
  <pageMargins left="0" right="0" top="0.5" bottom="0.5" header="0.5" footer="0.5"/>
  <pageSetup scale="84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3"/>
  <sheetViews>
    <sheetView showGridLines="0" topLeftCell="A4" workbookViewId="0" xr3:uid="{842E5F09-E766-5B8D-85AF-A39847EA96FD}">
      <selection activeCell="A20" sqref="A20"/>
    </sheetView>
  </sheetViews>
  <sheetFormatPr defaultRowHeight="14.45"/>
  <cols>
    <col min="1" max="1" width="37.42578125" customWidth="1"/>
    <col min="2" max="2" width="14.85546875" style="5" customWidth="1"/>
    <col min="3" max="3" width="14.85546875" customWidth="1"/>
    <col min="4" max="4" width="14.85546875" style="5" customWidth="1"/>
    <col min="5" max="6" width="14.85546875" bestFit="1" customWidth="1"/>
    <col min="7" max="7" width="16.42578125" bestFit="1" customWidth="1"/>
    <col min="8" max="8" width="11" bestFit="1" customWidth="1"/>
    <col min="9" max="9" width="10.7109375" bestFit="1" customWidth="1"/>
  </cols>
  <sheetData>
    <row r="2" spans="1:10" ht="15.6">
      <c r="A2" s="4" t="s">
        <v>0</v>
      </c>
    </row>
    <row r="3" spans="1:10" s="1" customFormat="1">
      <c r="A3" s="1" t="s">
        <v>1</v>
      </c>
      <c r="B3" s="6"/>
      <c r="D3" s="6"/>
    </row>
    <row r="4" spans="1:10" s="1" customFormat="1">
      <c r="B4" s="6"/>
      <c r="D4" s="6"/>
      <c r="G4" s="7" t="s">
        <v>2</v>
      </c>
    </row>
    <row r="5" spans="1:10" s="1" customFormat="1" ht="29.1">
      <c r="A5" s="9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spans="1:10" s="1" customFormat="1">
      <c r="A6" s="10" t="s">
        <v>10</v>
      </c>
      <c r="B6" s="20">
        <f>+'Annexure-1'!K8</f>
        <v>6000000</v>
      </c>
      <c r="C6" s="20">
        <f>+'Annexure-1'!L8</f>
        <v>8280000</v>
      </c>
      <c r="D6" s="20">
        <f>+'Annexure-1'!M8</f>
        <v>28000000</v>
      </c>
      <c r="E6" s="20">
        <f>+'Annexure-1'!N8</f>
        <v>48000000</v>
      </c>
      <c r="F6" s="20">
        <f>+'Annexure-1'!O8</f>
        <v>75600000</v>
      </c>
      <c r="G6" s="21">
        <f>SUM(B6:F6)</f>
        <v>165880000</v>
      </c>
      <c r="H6" s="1">
        <f>9600000*20/100</f>
        <v>1920000</v>
      </c>
    </row>
    <row r="7" spans="1:10" s="1" customFormat="1">
      <c r="A7" s="10" t="s">
        <v>11</v>
      </c>
      <c r="B7" s="20">
        <f>+'Annexure-1'!K16</f>
        <v>1080000</v>
      </c>
      <c r="C7" s="20">
        <f>+'Annexure-1'!L16</f>
        <v>1400000</v>
      </c>
      <c r="D7" s="20">
        <f>+'Annexure-1'!M16</f>
        <v>1760000</v>
      </c>
      <c r="E7" s="20">
        <f>+'Annexure-1'!N16</f>
        <v>2160000</v>
      </c>
      <c r="F7" s="20">
        <f>+'Annexure-1'!O16</f>
        <v>1200000</v>
      </c>
      <c r="G7" s="21">
        <f>SUM(B7:F7)</f>
        <v>7600000</v>
      </c>
      <c r="J7" s="1">
        <f>1200000*4</f>
        <v>4800000</v>
      </c>
    </row>
    <row r="8" spans="1:10">
      <c r="A8" s="3" t="s">
        <v>12</v>
      </c>
      <c r="B8" s="22">
        <f>'Annexure-1'!K25</f>
        <v>750000</v>
      </c>
      <c r="C8" s="22">
        <f>+'Annexure-1'!$L$25</f>
        <v>1260000</v>
      </c>
      <c r="D8" s="22">
        <f>+'Annexure-1'!$M$25</f>
        <v>1800000</v>
      </c>
      <c r="E8" s="22">
        <f>+'Annexure-1'!$N$25</f>
        <v>4800000</v>
      </c>
      <c r="F8" s="22" t="e">
        <f>+'Annexure-1'!#REF!</f>
        <v>#REF!</v>
      </c>
      <c r="G8" s="23" t="e">
        <f>SUM(B8:F8)</f>
        <v>#REF!</v>
      </c>
    </row>
    <row r="9" spans="1:10">
      <c r="A9" s="3"/>
      <c r="B9" s="22"/>
      <c r="C9" s="24"/>
      <c r="D9" s="22"/>
      <c r="E9" s="24"/>
      <c r="F9" s="24"/>
      <c r="G9" s="24"/>
    </row>
    <row r="10" spans="1:10">
      <c r="A10" s="2" t="s">
        <v>9</v>
      </c>
      <c r="B10" s="21">
        <f t="shared" ref="B10:G10" si="0">SUM(B6:B9)</f>
        <v>7830000</v>
      </c>
      <c r="C10" s="21">
        <f t="shared" si="0"/>
        <v>10940000</v>
      </c>
      <c r="D10" s="21">
        <f t="shared" si="0"/>
        <v>31560000</v>
      </c>
      <c r="E10" s="21">
        <f t="shared" si="0"/>
        <v>54960000</v>
      </c>
      <c r="F10" s="21" t="e">
        <f t="shared" si="0"/>
        <v>#REF!</v>
      </c>
      <c r="G10" s="21" t="e">
        <f t="shared" si="0"/>
        <v>#REF!</v>
      </c>
    </row>
    <row r="11" spans="1:10">
      <c r="A11" s="11"/>
      <c r="B11" s="25"/>
      <c r="C11" s="25"/>
      <c r="D11" s="25"/>
      <c r="E11" s="25"/>
      <c r="F11" s="25"/>
      <c r="G11" s="25"/>
    </row>
    <row r="12" spans="1:10">
      <c r="A12" s="10" t="s">
        <v>18</v>
      </c>
      <c r="B12" s="20">
        <f>B10*15%</f>
        <v>1174500</v>
      </c>
      <c r="C12" s="20">
        <f t="shared" ref="C12:F12" si="1">C10*15%</f>
        <v>1641000</v>
      </c>
      <c r="D12" s="20">
        <f t="shared" si="1"/>
        <v>4734000</v>
      </c>
      <c r="E12" s="20">
        <f t="shared" si="1"/>
        <v>8244000</v>
      </c>
      <c r="F12" s="20" t="e">
        <f t="shared" si="1"/>
        <v>#REF!</v>
      </c>
      <c r="G12" s="20" t="e">
        <f>SUM(B12:F12)</f>
        <v>#REF!</v>
      </c>
      <c r="H12" s="14"/>
    </row>
    <row r="13" spans="1:10">
      <c r="A13" s="10" t="s">
        <v>19</v>
      </c>
      <c r="B13" s="20">
        <f>(B10-B12)*20%</f>
        <v>1331100</v>
      </c>
      <c r="C13" s="20">
        <f t="shared" ref="C13:F13" si="2">(C10-C12)*20%</f>
        <v>1859800</v>
      </c>
      <c r="D13" s="20">
        <f t="shared" si="2"/>
        <v>5365200</v>
      </c>
      <c r="E13" s="20">
        <f t="shared" si="2"/>
        <v>9343200</v>
      </c>
      <c r="F13" s="20" t="e">
        <f t="shared" si="2"/>
        <v>#REF!</v>
      </c>
      <c r="G13" s="20" t="e">
        <f>SUM(B13:F13)</f>
        <v>#REF!</v>
      </c>
      <c r="H13" s="14"/>
    </row>
    <row r="14" spans="1:10">
      <c r="A14" s="2" t="s">
        <v>66</v>
      </c>
      <c r="B14" s="21">
        <f>(B10-B12)*80%</f>
        <v>5324400</v>
      </c>
      <c r="C14" s="21">
        <f t="shared" ref="C14:F14" si="3">(C10-C12)*80%</f>
        <v>7439200</v>
      </c>
      <c r="D14" s="21">
        <f t="shared" si="3"/>
        <v>21460800</v>
      </c>
      <c r="E14" s="21">
        <f t="shared" si="3"/>
        <v>37372800</v>
      </c>
      <c r="F14" s="21" t="e">
        <f t="shared" si="3"/>
        <v>#REF!</v>
      </c>
      <c r="G14" s="21" t="e">
        <f>SUM(B14:F14)</f>
        <v>#REF!</v>
      </c>
      <c r="H14" s="15"/>
      <c r="I14" s="16"/>
    </row>
    <row r="15" spans="1:10">
      <c r="A15" s="2" t="s">
        <v>67</v>
      </c>
      <c r="B15" s="21">
        <v>389760</v>
      </c>
      <c r="C15" s="21">
        <v>695040</v>
      </c>
      <c r="D15" s="21">
        <v>1031040</v>
      </c>
      <c r="E15" s="21">
        <v>1391040</v>
      </c>
      <c r="F15" s="21">
        <v>1821600</v>
      </c>
      <c r="G15" s="21">
        <f>SUM(B15:F15)</f>
        <v>5328480</v>
      </c>
      <c r="H15" s="14"/>
    </row>
    <row r="16" spans="1:10" ht="29.1">
      <c r="A16" s="9" t="s">
        <v>68</v>
      </c>
      <c r="B16" s="21">
        <v>550000</v>
      </c>
      <c r="C16" s="21">
        <v>1375000</v>
      </c>
      <c r="D16" s="21">
        <v>2900000</v>
      </c>
      <c r="E16" s="21">
        <v>5580000</v>
      </c>
      <c r="F16" s="21">
        <v>9750000</v>
      </c>
      <c r="G16" s="21">
        <f>SUM(B16:F16)</f>
        <v>20155000</v>
      </c>
    </row>
    <row r="17" spans="1:9">
      <c r="A17" s="13"/>
      <c r="B17" s="25"/>
      <c r="C17" s="25"/>
      <c r="D17" s="25"/>
      <c r="E17" s="25"/>
      <c r="F17" s="25"/>
      <c r="G17" s="25"/>
    </row>
    <row r="18" spans="1:9" ht="30.95">
      <c r="A18" s="17" t="s">
        <v>69</v>
      </c>
      <c r="B18" s="26">
        <f>B14+B15+B16</f>
        <v>6264160</v>
      </c>
      <c r="C18" s="26">
        <f t="shared" ref="C18:G18" si="4">C14+C15+C16</f>
        <v>9509240</v>
      </c>
      <c r="D18" s="26">
        <f t="shared" si="4"/>
        <v>25391840</v>
      </c>
      <c r="E18" s="26">
        <f t="shared" si="4"/>
        <v>44343840</v>
      </c>
      <c r="F18" s="26" t="e">
        <f t="shared" si="4"/>
        <v>#REF!</v>
      </c>
      <c r="G18" s="26" t="e">
        <f t="shared" si="4"/>
        <v>#REF!</v>
      </c>
    </row>
    <row r="19" spans="1:9">
      <c r="A19" s="12"/>
      <c r="B19" s="8"/>
    </row>
    <row r="20" spans="1:9">
      <c r="A20" s="2" t="s">
        <v>70</v>
      </c>
      <c r="B20" s="7" t="s">
        <v>4</v>
      </c>
      <c r="C20" s="7" t="s">
        <v>5</v>
      </c>
      <c r="D20" s="7" t="s">
        <v>6</v>
      </c>
      <c r="E20" s="7" t="s">
        <v>7</v>
      </c>
      <c r="F20" s="7" t="s">
        <v>8</v>
      </c>
      <c r="G20" s="7" t="s">
        <v>9</v>
      </c>
    </row>
    <row r="21" spans="1:9">
      <c r="A21" s="3" t="s">
        <v>23</v>
      </c>
      <c r="B21" s="22">
        <f>10000*12</f>
        <v>120000</v>
      </c>
      <c r="C21" s="24">
        <f>18000*12</f>
        <v>216000</v>
      </c>
      <c r="D21" s="22">
        <f>15000*12</f>
        <v>180000</v>
      </c>
      <c r="E21" s="24">
        <f>18000*12</f>
        <v>216000</v>
      </c>
      <c r="F21" s="24">
        <f>25000*12</f>
        <v>300000</v>
      </c>
      <c r="G21" s="24">
        <f t="shared" ref="G21:G35" si="5">SUM(B21:F21)</f>
        <v>1032000</v>
      </c>
    </row>
    <row r="22" spans="1:9">
      <c r="A22" s="3" t="s">
        <v>71</v>
      </c>
      <c r="B22" s="22" t="e">
        <f>'Annexure-1'!#REF!</f>
        <v>#REF!</v>
      </c>
      <c r="C22" s="22" t="e">
        <f>+'Annexure-1'!#REF!</f>
        <v>#REF!</v>
      </c>
      <c r="D22" s="22" t="e">
        <f>+'Annexure-1'!#REF!</f>
        <v>#REF!</v>
      </c>
      <c r="E22" s="22" t="e">
        <f>+'Annexure-1'!#REF!</f>
        <v>#REF!</v>
      </c>
      <c r="F22" s="22" t="e">
        <f>+'Annexure-1'!#REF!</f>
        <v>#REF!</v>
      </c>
      <c r="G22" s="24" t="e">
        <f t="shared" si="5"/>
        <v>#REF!</v>
      </c>
    </row>
    <row r="23" spans="1:9">
      <c r="A23" s="3" t="s">
        <v>72</v>
      </c>
      <c r="B23" s="22" t="e">
        <f>+'Annexure-1'!#REF!</f>
        <v>#REF!</v>
      </c>
      <c r="C23" s="22" t="e">
        <f>+'Annexure-1'!#REF!+25000</f>
        <v>#REF!</v>
      </c>
      <c r="D23" s="22" t="e">
        <f>+'Annexure-1'!#REF!</f>
        <v>#REF!</v>
      </c>
      <c r="E23" s="22" t="e">
        <f>+'Annexure-1'!#REF!</f>
        <v>#REF!</v>
      </c>
      <c r="F23" s="22" t="e">
        <f>+'Annexure-1'!#REF!</f>
        <v>#REF!</v>
      </c>
      <c r="G23" s="24" t="e">
        <f t="shared" si="5"/>
        <v>#REF!</v>
      </c>
    </row>
    <row r="24" spans="1:9">
      <c r="A24" s="3" t="s">
        <v>26</v>
      </c>
      <c r="B24" s="22">
        <v>240000</v>
      </c>
      <c r="C24" s="24">
        <v>384000</v>
      </c>
      <c r="D24" s="22">
        <v>542400</v>
      </c>
      <c r="E24" s="24">
        <v>716640</v>
      </c>
      <c r="F24" s="24">
        <v>908304</v>
      </c>
      <c r="G24" s="24">
        <f t="shared" si="5"/>
        <v>2791344</v>
      </c>
      <c r="I24">
        <f>800000-264000</f>
        <v>536000</v>
      </c>
    </row>
    <row r="25" spans="1:9">
      <c r="A25" s="3" t="s">
        <v>27</v>
      </c>
      <c r="B25" s="22">
        <f>72000+28000+20000</f>
        <v>120000</v>
      </c>
      <c r="C25" s="24">
        <v>300000</v>
      </c>
      <c r="D25" s="22">
        <v>108000</v>
      </c>
      <c r="E25" s="24">
        <v>120000</v>
      </c>
      <c r="F25" s="24">
        <v>140000</v>
      </c>
      <c r="G25" s="24">
        <f t="shared" si="5"/>
        <v>788000</v>
      </c>
      <c r="I25">
        <f>536000+1500000</f>
        <v>2036000</v>
      </c>
    </row>
    <row r="26" spans="1:9">
      <c r="A26" s="3" t="s">
        <v>28</v>
      </c>
      <c r="B26" s="22">
        <v>500000</v>
      </c>
      <c r="C26" s="24">
        <v>834000</v>
      </c>
      <c r="D26" s="22">
        <v>851800</v>
      </c>
      <c r="E26" s="24">
        <v>1265880</v>
      </c>
      <c r="F26" s="24">
        <v>1797460</v>
      </c>
      <c r="G26" s="24">
        <f t="shared" si="5"/>
        <v>5249140</v>
      </c>
      <c r="I26">
        <f>I25*33/100</f>
        <v>671880</v>
      </c>
    </row>
    <row r="27" spans="1:9">
      <c r="A27" s="3" t="s">
        <v>29</v>
      </c>
      <c r="B27" s="22">
        <f>288000+120000</f>
        <v>408000</v>
      </c>
      <c r="C27" s="24">
        <f>892800+300000</f>
        <v>1192800</v>
      </c>
      <c r="D27" s="22">
        <v>2232000</v>
      </c>
      <c r="E27" s="24">
        <v>4464000</v>
      </c>
      <c r="F27" s="24">
        <v>6696000</v>
      </c>
      <c r="G27" s="24">
        <f t="shared" si="5"/>
        <v>14992800</v>
      </c>
    </row>
    <row r="28" spans="1:9">
      <c r="A28" s="3" t="s">
        <v>30</v>
      </c>
      <c r="B28" s="22">
        <v>240000</v>
      </c>
      <c r="C28" s="24">
        <v>360000</v>
      </c>
      <c r="D28" s="22">
        <v>540000</v>
      </c>
      <c r="E28" s="24">
        <v>810000</v>
      </c>
      <c r="F28" s="24">
        <v>1215000</v>
      </c>
      <c r="G28" s="24">
        <f t="shared" si="5"/>
        <v>3165000</v>
      </c>
    </row>
    <row r="29" spans="1:9">
      <c r="A29" s="3" t="s">
        <v>31</v>
      </c>
      <c r="B29" s="22">
        <v>180000</v>
      </c>
      <c r="C29" s="24">
        <v>270000</v>
      </c>
      <c r="D29" s="22">
        <v>405000</v>
      </c>
      <c r="E29" s="24">
        <v>607500</v>
      </c>
      <c r="F29" s="24">
        <v>911250</v>
      </c>
      <c r="G29" s="24">
        <f t="shared" si="5"/>
        <v>2373750</v>
      </c>
    </row>
    <row r="30" spans="1:9">
      <c r="A30" s="45" t="s">
        <v>33</v>
      </c>
      <c r="B30" s="22">
        <v>150000</v>
      </c>
      <c r="C30" s="24">
        <v>200000</v>
      </c>
      <c r="D30" s="22">
        <v>200000</v>
      </c>
      <c r="E30" s="24">
        <v>200000</v>
      </c>
      <c r="F30" s="24">
        <v>200000</v>
      </c>
      <c r="G30" s="24">
        <f t="shared" si="5"/>
        <v>950000</v>
      </c>
    </row>
    <row r="31" spans="1:9">
      <c r="A31" s="45" t="s">
        <v>34</v>
      </c>
      <c r="B31" s="3">
        <f>1200000*14/100</f>
        <v>168000</v>
      </c>
      <c r="C31" s="24">
        <f>Sheet2!E5</f>
        <v>74666.759999999995</v>
      </c>
      <c r="D31" s="22">
        <f>Sheet2!F5</f>
        <v>37334</v>
      </c>
      <c r="E31" s="24">
        <f>Sheet2!D10</f>
        <v>112000</v>
      </c>
      <c r="F31" s="24">
        <f>Sheet2!E10</f>
        <v>74666.759999999995</v>
      </c>
      <c r="G31" s="24">
        <f t="shared" si="5"/>
        <v>466667.52000000002</v>
      </c>
    </row>
    <row r="32" spans="1:9">
      <c r="A32" s="45" t="s">
        <v>35</v>
      </c>
      <c r="B32" s="10">
        <v>100000</v>
      </c>
      <c r="C32" s="24">
        <v>75000</v>
      </c>
      <c r="D32" s="22">
        <v>75000</v>
      </c>
      <c r="E32" s="24">
        <v>65000</v>
      </c>
      <c r="F32" s="24">
        <v>60500</v>
      </c>
      <c r="G32" s="24">
        <f t="shared" si="5"/>
        <v>375500</v>
      </c>
    </row>
    <row r="33" spans="1:11">
      <c r="A33" s="3" t="s">
        <v>73</v>
      </c>
      <c r="B33" s="39">
        <v>1900000</v>
      </c>
      <c r="C33" s="24">
        <v>3000000</v>
      </c>
      <c r="D33" s="22">
        <v>3000000</v>
      </c>
      <c r="E33" s="24">
        <v>3500000</v>
      </c>
      <c r="F33" s="24">
        <v>3500000</v>
      </c>
      <c r="G33" s="24">
        <f t="shared" si="5"/>
        <v>14900000</v>
      </c>
    </row>
    <row r="34" spans="1:11">
      <c r="A34" s="3" t="s">
        <v>38</v>
      </c>
      <c r="B34" s="32">
        <v>100000</v>
      </c>
      <c r="C34" s="24">
        <v>100000</v>
      </c>
      <c r="D34" s="22">
        <v>100000</v>
      </c>
      <c r="E34" s="24">
        <v>100000</v>
      </c>
      <c r="F34" s="24">
        <v>100000</v>
      </c>
      <c r="G34" s="24">
        <f t="shared" si="5"/>
        <v>500000</v>
      </c>
    </row>
    <row r="35" spans="1:11">
      <c r="A35" s="2" t="s">
        <v>36</v>
      </c>
      <c r="B35" s="22"/>
      <c r="C35" s="24">
        <f>2377980</f>
        <v>2377980</v>
      </c>
      <c r="D35" s="22"/>
      <c r="E35" s="24"/>
      <c r="F35" s="24"/>
      <c r="G35" s="24">
        <f t="shared" si="5"/>
        <v>2377980</v>
      </c>
    </row>
    <row r="36" spans="1:11" ht="15.6">
      <c r="A36" s="18" t="s">
        <v>39</v>
      </c>
      <c r="B36" s="26" t="e">
        <f>SUM(B21:B35)</f>
        <v>#REF!</v>
      </c>
      <c r="C36" s="26" t="e">
        <f>SUM(C21:C35)</f>
        <v>#REF!</v>
      </c>
      <c r="D36" s="26" t="e">
        <f>SUM(D21:D35)</f>
        <v>#REF!</v>
      </c>
      <c r="E36" s="26" t="e">
        <f>SUM(E21:E35)</f>
        <v>#REF!</v>
      </c>
      <c r="F36" s="26" t="e">
        <f>SUM(F21:F35)</f>
        <v>#REF!</v>
      </c>
      <c r="G36" s="26" t="e">
        <f>SUM(G20:G31)</f>
        <v>#REF!</v>
      </c>
    </row>
    <row r="37" spans="1:11">
      <c r="B37" s="27"/>
      <c r="C37" s="28"/>
      <c r="D37" s="27"/>
      <c r="E37" s="28"/>
      <c r="F37" s="28"/>
      <c r="G37" s="28"/>
      <c r="K37">
        <f>5599360*30/100</f>
        <v>1679808</v>
      </c>
    </row>
    <row r="38" spans="1:11" s="1" customFormat="1" ht="17.100000000000001">
      <c r="A38" s="19" t="s">
        <v>40</v>
      </c>
      <c r="B38" s="29" t="e">
        <f>B18-B36</f>
        <v>#REF!</v>
      </c>
      <c r="C38" s="29" t="e">
        <f t="shared" ref="C38:G38" si="6">C18-C36</f>
        <v>#REF!</v>
      </c>
      <c r="D38" s="29" t="e">
        <f t="shared" si="6"/>
        <v>#REF!</v>
      </c>
      <c r="E38" s="29" t="e">
        <f t="shared" si="6"/>
        <v>#REF!</v>
      </c>
      <c r="F38" s="29" t="e">
        <f t="shared" si="6"/>
        <v>#REF!</v>
      </c>
      <c r="G38" s="29" t="e">
        <f t="shared" si="6"/>
        <v>#REF!</v>
      </c>
      <c r="K38" s="1">
        <v>125000</v>
      </c>
    </row>
    <row r="41" spans="1:11">
      <c r="B41" s="5">
        <f>2820560+1900000</f>
        <v>4720560</v>
      </c>
      <c r="C41">
        <f>8927793+3000000</f>
        <v>11927793</v>
      </c>
    </row>
    <row r="42" spans="1:11">
      <c r="B42" s="5">
        <f>B41*50/100</f>
        <v>2360280</v>
      </c>
    </row>
    <row r="43" spans="1:11">
      <c r="C43">
        <f>C41*50/100</f>
        <v>5963896.5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8"/>
  <sheetViews>
    <sheetView topLeftCell="A14" workbookViewId="0" xr3:uid="{51F8DEE0-4D01-5F28-A812-FC0BD7CAC4A5}">
      <selection activeCell="F16" sqref="F16"/>
    </sheetView>
  </sheetViews>
  <sheetFormatPr defaultRowHeight="14.45"/>
  <cols>
    <col min="1" max="1" width="4" customWidth="1"/>
    <col min="2" max="2" width="37.28515625" customWidth="1"/>
    <col min="3" max="3" width="20" style="40" customWidth="1"/>
    <col min="4" max="4" width="38.7109375" customWidth="1"/>
    <col min="5" max="5" width="14.42578125" customWidth="1"/>
    <col min="6" max="6" width="23.140625" style="40" customWidth="1"/>
  </cols>
  <sheetData>
    <row r="2" spans="1:6" ht="15.6">
      <c r="A2" s="84" t="s">
        <v>74</v>
      </c>
      <c r="B2" s="84"/>
      <c r="C2" s="84"/>
      <c r="D2" s="84"/>
      <c r="E2" s="84"/>
      <c r="F2" s="84"/>
    </row>
    <row r="3" spans="1:6" ht="15.6">
      <c r="A3" s="48"/>
      <c r="B3" s="48"/>
      <c r="C3" s="85" t="s">
        <v>75</v>
      </c>
      <c r="D3" s="85"/>
      <c r="E3" s="71"/>
      <c r="F3" s="49"/>
    </row>
    <row r="4" spans="1:6">
      <c r="A4" s="33"/>
      <c r="B4" s="35" t="s">
        <v>76</v>
      </c>
      <c r="C4" s="41" t="s">
        <v>77</v>
      </c>
      <c r="D4" s="36" t="s">
        <v>78</v>
      </c>
      <c r="E4" s="36"/>
      <c r="F4" s="41" t="s">
        <v>79</v>
      </c>
    </row>
    <row r="5" spans="1:6">
      <c r="B5" s="34"/>
      <c r="C5" s="42"/>
      <c r="D5" s="34"/>
      <c r="E5" s="34"/>
      <c r="F5" s="42"/>
    </row>
    <row r="6" spans="1:6">
      <c r="B6" s="38" t="s">
        <v>80</v>
      </c>
      <c r="D6" s="38" t="s">
        <v>81</v>
      </c>
      <c r="E6" s="38"/>
      <c r="F6" s="42"/>
    </row>
    <row r="7" spans="1:6">
      <c r="B7" s="34" t="s">
        <v>82</v>
      </c>
      <c r="C7" s="42">
        <f>500000</f>
        <v>500000</v>
      </c>
      <c r="D7" s="38" t="s">
        <v>83</v>
      </c>
      <c r="E7" s="34"/>
      <c r="F7" s="43"/>
    </row>
    <row r="8" spans="1:6">
      <c r="B8" s="34" t="s">
        <v>84</v>
      </c>
      <c r="C8" s="42">
        <f>'I&amp;E'!B40</f>
        <v>1754139.4874999998</v>
      </c>
      <c r="D8" s="34" t="s">
        <v>85</v>
      </c>
      <c r="E8" s="34">
        <f>Sheet4!D6</f>
        <v>569250</v>
      </c>
      <c r="F8" s="42"/>
    </row>
    <row r="9" spans="1:6">
      <c r="B9" s="34"/>
      <c r="C9" s="42"/>
      <c r="D9" s="34" t="s">
        <v>86</v>
      </c>
      <c r="E9" s="34">
        <f>Sheet4!D7</f>
        <v>300000</v>
      </c>
      <c r="F9" s="42"/>
    </row>
    <row r="10" spans="1:6">
      <c r="B10" s="34"/>
      <c r="C10" s="42"/>
      <c r="D10" s="38" t="s">
        <v>87</v>
      </c>
      <c r="E10" s="34"/>
      <c r="F10" s="42"/>
    </row>
    <row r="11" spans="1:6">
      <c r="B11" s="34"/>
      <c r="C11" s="42"/>
      <c r="D11" s="34" t="s">
        <v>36</v>
      </c>
      <c r="E11" s="72">
        <f>Sheet4!G9</f>
        <v>144860.51250000001</v>
      </c>
      <c r="F11" s="42">
        <f>E8+E9-E11</f>
        <v>724389.48750000005</v>
      </c>
    </row>
    <row r="12" spans="1:6">
      <c r="B12" s="34"/>
      <c r="C12" s="42"/>
      <c r="D12" s="34"/>
      <c r="E12" s="34"/>
      <c r="F12" s="42"/>
    </row>
    <row r="13" spans="1:6">
      <c r="B13" s="34"/>
      <c r="C13" s="42"/>
      <c r="D13" s="47"/>
      <c r="E13" s="47"/>
      <c r="F13" s="42"/>
    </row>
    <row r="14" spans="1:6">
      <c r="B14" s="38"/>
      <c r="C14" s="42"/>
      <c r="D14" s="46"/>
      <c r="E14" s="46"/>
      <c r="F14" s="42"/>
    </row>
    <row r="15" spans="1:6">
      <c r="B15" s="38" t="s">
        <v>88</v>
      </c>
      <c r="C15" s="42"/>
      <c r="D15" s="74" t="s">
        <v>89</v>
      </c>
      <c r="E15" s="37"/>
      <c r="F15" s="42"/>
    </row>
    <row r="16" spans="1:6">
      <c r="B16" s="34" t="s">
        <v>90</v>
      </c>
      <c r="C16" s="42">
        <f>1200000-266667</f>
        <v>933333</v>
      </c>
      <c r="D16" s="34" t="s">
        <v>91</v>
      </c>
      <c r="E16" s="34"/>
      <c r="F16" s="42">
        <v>100000</v>
      </c>
    </row>
    <row r="17" spans="2:8">
      <c r="B17" s="37"/>
      <c r="C17" s="42"/>
      <c r="D17" s="34" t="s">
        <v>38</v>
      </c>
      <c r="E17" s="34"/>
      <c r="F17" s="42">
        <v>500000</v>
      </c>
    </row>
    <row r="18" spans="2:8">
      <c r="B18" s="34"/>
      <c r="C18" s="42"/>
      <c r="D18" s="34"/>
      <c r="E18" s="34"/>
      <c r="F18" s="42"/>
    </row>
    <row r="19" spans="2:8">
      <c r="B19" s="34"/>
      <c r="C19" s="42"/>
      <c r="D19" s="34"/>
      <c r="E19" s="34"/>
      <c r="F19" s="42"/>
    </row>
    <row r="20" spans="2:8">
      <c r="B20" s="38" t="s">
        <v>92</v>
      </c>
      <c r="C20" s="42"/>
      <c r="D20" s="38" t="s">
        <v>93</v>
      </c>
      <c r="E20" s="34"/>
      <c r="F20" s="42"/>
    </row>
    <row r="21" spans="2:8">
      <c r="B21" s="34" t="s">
        <v>94</v>
      </c>
      <c r="C21" s="42">
        <f>'I&amp;E'!B35</f>
        <v>200000</v>
      </c>
      <c r="D21" s="34" t="s">
        <v>95</v>
      </c>
      <c r="E21" s="34"/>
      <c r="F21" s="42">
        <f>C8+C21+E11-659500</f>
        <v>1439500</v>
      </c>
      <c r="H21" s="50"/>
    </row>
    <row r="22" spans="2:8">
      <c r="B22" s="34"/>
      <c r="C22" s="42"/>
      <c r="D22" s="34" t="s">
        <v>96</v>
      </c>
      <c r="E22" s="34"/>
      <c r="F22" s="42">
        <f>1200000-869250-100000+659500-266667</f>
        <v>623583</v>
      </c>
    </row>
    <row r="23" spans="2:8">
      <c r="B23" s="34"/>
      <c r="C23" s="42"/>
      <c r="D23" s="34"/>
      <c r="E23" s="34"/>
      <c r="F23" s="42"/>
    </row>
    <row r="24" spans="2:8">
      <c r="B24" s="34"/>
      <c r="C24" s="42"/>
      <c r="D24" s="34"/>
      <c r="E24" s="34"/>
      <c r="F24" s="42"/>
    </row>
    <row r="25" spans="2:8">
      <c r="B25" s="34"/>
      <c r="C25" s="42"/>
      <c r="D25" s="34"/>
      <c r="E25" s="34"/>
      <c r="F25" s="42"/>
    </row>
    <row r="26" spans="2:8">
      <c r="B26" s="34"/>
      <c r="C26" s="42"/>
      <c r="D26" s="34"/>
      <c r="E26" s="34"/>
      <c r="F26" s="42"/>
    </row>
    <row r="27" spans="2:8">
      <c r="B27" s="34"/>
      <c r="C27" s="42"/>
      <c r="D27" s="34"/>
      <c r="E27" s="34"/>
      <c r="F27" s="42"/>
    </row>
    <row r="28" spans="2:8">
      <c r="B28" s="36" t="s">
        <v>97</v>
      </c>
      <c r="C28" s="41">
        <f>SUM(C5:C26)</f>
        <v>3387472.4874999998</v>
      </c>
      <c r="D28" s="36" t="s">
        <v>97</v>
      </c>
      <c r="E28" s="36"/>
      <c r="F28" s="41">
        <f>SUM(F5:F27)</f>
        <v>3387472.4874999998</v>
      </c>
    </row>
    <row r="31" spans="2:8">
      <c r="D31" s="50">
        <f>C28-F28</f>
        <v>0</v>
      </c>
      <c r="E31" s="50"/>
    </row>
    <row r="36" spans="4:6">
      <c r="D36" s="30"/>
      <c r="E36" s="30"/>
      <c r="F36" s="44"/>
    </row>
    <row r="37" spans="4:6">
      <c r="D37" s="30"/>
      <c r="E37" s="30"/>
      <c r="F37" s="44"/>
    </row>
    <row r="38" spans="4:6">
      <c r="D38" s="30"/>
      <c r="E38" s="30"/>
      <c r="F38" s="44"/>
    </row>
  </sheetData>
  <mergeCells count="2">
    <mergeCell ref="A2:F2"/>
    <mergeCell ref="C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40"/>
  <sheetViews>
    <sheetView workbookViewId="0" xr3:uid="{F9CF3CF3-643B-5BE6-8B46-32C596A47465}">
      <selection activeCell="D1" sqref="D1"/>
    </sheetView>
  </sheetViews>
  <sheetFormatPr defaultRowHeight="14.45"/>
  <cols>
    <col min="1" max="1" width="4" customWidth="1"/>
    <col min="2" max="2" width="37.28515625" customWidth="1"/>
    <col min="3" max="3" width="20" style="40" customWidth="1"/>
    <col min="4" max="4" width="38.7109375" customWidth="1"/>
    <col min="5" max="5" width="14.42578125" customWidth="1"/>
    <col min="6" max="6" width="23.140625" style="40" customWidth="1"/>
    <col min="8" max="9" width="14.28515625" bestFit="1" customWidth="1"/>
  </cols>
  <sheetData>
    <row r="2" spans="1:8" ht="15.6">
      <c r="A2" s="84" t="s">
        <v>74</v>
      </c>
      <c r="B2" s="84"/>
      <c r="C2" s="84"/>
      <c r="D2" s="84"/>
      <c r="E2" s="84"/>
      <c r="F2" s="84"/>
    </row>
    <row r="3" spans="1:8" ht="15.6">
      <c r="A3" s="48"/>
      <c r="B3" s="48"/>
      <c r="C3" s="85" t="s">
        <v>98</v>
      </c>
      <c r="D3" s="85"/>
      <c r="E3" s="71"/>
      <c r="F3" s="49"/>
    </row>
    <row r="4" spans="1:8">
      <c r="A4" s="33"/>
      <c r="B4" s="35" t="s">
        <v>76</v>
      </c>
      <c r="C4" s="41" t="s">
        <v>77</v>
      </c>
      <c r="D4" s="36" t="s">
        <v>78</v>
      </c>
      <c r="E4" s="36"/>
      <c r="F4" s="41" t="s">
        <v>79</v>
      </c>
    </row>
    <row r="5" spans="1:8">
      <c r="B5" s="34"/>
      <c r="C5" s="42"/>
      <c r="D5" s="34"/>
      <c r="E5" s="34"/>
      <c r="F5" s="42"/>
    </row>
    <row r="6" spans="1:8">
      <c r="B6" s="38" t="s">
        <v>80</v>
      </c>
      <c r="D6" s="38" t="s">
        <v>81</v>
      </c>
      <c r="E6" s="38"/>
      <c r="F6" s="42"/>
    </row>
    <row r="7" spans="1:8">
      <c r="B7" s="34" t="s">
        <v>82</v>
      </c>
      <c r="C7" s="42">
        <f>'bal-1'!C7+'bal-1'!C8</f>
        <v>2254139.4874999998</v>
      </c>
      <c r="D7" s="34" t="s">
        <v>99</v>
      </c>
      <c r="E7" s="72">
        <f>Sheet4!B12</f>
        <v>474384.48749999999</v>
      </c>
      <c r="F7" s="43"/>
    </row>
    <row r="8" spans="1:8">
      <c r="B8" s="34" t="s">
        <v>84</v>
      </c>
      <c r="C8" s="42">
        <f>'I&amp;E'!C40</f>
        <v>2920430.5488162506</v>
      </c>
      <c r="D8" s="34" t="s">
        <v>86</v>
      </c>
      <c r="E8" s="34">
        <f>Sheet4!B13</f>
        <v>250005</v>
      </c>
      <c r="F8" s="42"/>
    </row>
    <row r="9" spans="1:8">
      <c r="B9" s="34"/>
      <c r="C9" s="42"/>
      <c r="D9" s="34"/>
      <c r="E9" s="34"/>
      <c r="F9" s="42"/>
    </row>
    <row r="10" spans="1:8">
      <c r="B10" s="34"/>
      <c r="C10" s="42"/>
      <c r="D10" s="34" t="s">
        <v>100</v>
      </c>
      <c r="E10" s="34">
        <f>Sheet4!D12</f>
        <v>189750</v>
      </c>
      <c r="F10" s="42"/>
    </row>
    <row r="11" spans="1:8">
      <c r="B11" s="34"/>
      <c r="C11" s="42"/>
      <c r="D11" s="34" t="s">
        <v>86</v>
      </c>
      <c r="E11" s="72">
        <f>Sheet4!D13</f>
        <v>400000</v>
      </c>
      <c r="F11" s="42"/>
    </row>
    <row r="12" spans="1:8">
      <c r="B12" s="34"/>
      <c r="C12" s="42"/>
      <c r="D12" s="34"/>
      <c r="E12" s="83">
        <f>SUM(E7:E11)</f>
        <v>1314139.4875</v>
      </c>
      <c r="F12" s="42"/>
    </row>
    <row r="13" spans="1:8">
      <c r="B13" s="34"/>
      <c r="C13" s="42"/>
      <c r="D13" s="38" t="s">
        <v>101</v>
      </c>
      <c r="E13" s="72"/>
      <c r="F13" s="42"/>
    </row>
    <row r="14" spans="1:8">
      <c r="B14" s="34"/>
      <c r="C14" s="42"/>
      <c r="D14" s="34" t="s">
        <v>102</v>
      </c>
      <c r="E14" s="72">
        <f>Sheet4!G15</f>
        <v>438002.69118374999</v>
      </c>
      <c r="F14" s="42"/>
    </row>
    <row r="15" spans="1:8">
      <c r="B15" s="34"/>
      <c r="C15" s="42"/>
      <c r="D15" s="47"/>
      <c r="E15" s="47"/>
      <c r="F15" s="43">
        <f>E12-E14</f>
        <v>876136.79631624999</v>
      </c>
    </row>
    <row r="16" spans="1:8">
      <c r="B16" s="34"/>
      <c r="C16" s="42"/>
      <c r="D16" s="46"/>
      <c r="E16" s="46"/>
      <c r="F16" s="42"/>
      <c r="H16" s="50"/>
    </row>
    <row r="17" spans="2:9">
      <c r="B17" s="34"/>
      <c r="C17" s="42"/>
      <c r="D17" s="74" t="s">
        <v>89</v>
      </c>
      <c r="E17" s="34"/>
      <c r="F17" s="42"/>
    </row>
    <row r="18" spans="2:9">
      <c r="B18" s="38" t="s">
        <v>103</v>
      </c>
      <c r="C18" s="42"/>
      <c r="D18" s="34" t="s">
        <v>91</v>
      </c>
      <c r="E18" s="38"/>
      <c r="F18" s="42">
        <v>100000</v>
      </c>
    </row>
    <row r="19" spans="2:9">
      <c r="B19" s="34" t="s">
        <v>90</v>
      </c>
      <c r="C19" s="42">
        <f>933333-266667</f>
        <v>666666</v>
      </c>
      <c r="D19" s="34" t="s">
        <v>38</v>
      </c>
      <c r="E19" s="34"/>
      <c r="F19" s="42">
        <v>500000</v>
      </c>
    </row>
    <row r="20" spans="2:9">
      <c r="B20" s="34"/>
      <c r="C20" s="42"/>
      <c r="D20" s="34"/>
      <c r="E20" s="37"/>
      <c r="F20" s="42"/>
    </row>
    <row r="21" spans="2:9">
      <c r="B21" s="38"/>
      <c r="C21" s="42"/>
      <c r="D21" s="34"/>
      <c r="E21" s="34"/>
      <c r="F21" s="42"/>
    </row>
    <row r="22" spans="2:9">
      <c r="B22" s="34"/>
      <c r="C22" s="42"/>
      <c r="D22" s="34"/>
      <c r="E22" s="34"/>
      <c r="F22" s="42"/>
    </row>
    <row r="23" spans="2:9">
      <c r="B23" s="34"/>
      <c r="C23" s="42"/>
      <c r="D23" s="38"/>
      <c r="E23" s="34"/>
      <c r="F23" s="42"/>
    </row>
    <row r="24" spans="2:9">
      <c r="B24" s="38" t="s">
        <v>92</v>
      </c>
      <c r="C24" s="42"/>
      <c r="D24" s="38" t="s">
        <v>93</v>
      </c>
      <c r="E24" s="34"/>
      <c r="F24" s="42"/>
      <c r="H24" s="50"/>
    </row>
    <row r="25" spans="2:9">
      <c r="B25" s="34" t="s">
        <v>104</v>
      </c>
      <c r="C25" s="42">
        <f>'I&amp;E'!C35+'bal-1'!C21</f>
        <v>1050000</v>
      </c>
      <c r="D25" s="34" t="s">
        <v>95</v>
      </c>
      <c r="E25" s="34"/>
      <c r="F25" s="42">
        <f>'bal-1'!F21+C8+C25+E14-200000-E10-E11-2000000</f>
        <v>3058183.24</v>
      </c>
      <c r="H25" s="82">
        <f>H24*5</f>
        <v>0</v>
      </c>
      <c r="I25" s="82">
        <f>H25*50/100</f>
        <v>0</v>
      </c>
    </row>
    <row r="26" spans="2:9">
      <c r="B26" s="34"/>
      <c r="C26" s="42"/>
      <c r="D26" s="34" t="s">
        <v>96</v>
      </c>
      <c r="E26" s="34"/>
      <c r="F26" s="42">
        <f>'bal-1'!F22-266667+2000000</f>
        <v>2356916</v>
      </c>
    </row>
    <row r="27" spans="2:9">
      <c r="B27" s="34"/>
      <c r="C27" s="42"/>
      <c r="D27" s="34"/>
      <c r="E27" s="34"/>
      <c r="F27" s="42"/>
    </row>
    <row r="28" spans="2:9">
      <c r="B28" s="34"/>
      <c r="C28" s="42"/>
      <c r="D28" s="34"/>
      <c r="E28" s="34"/>
      <c r="F28" s="42"/>
    </row>
    <row r="29" spans="2:9">
      <c r="B29" s="34"/>
      <c r="C29" s="42"/>
      <c r="D29" s="34"/>
      <c r="E29" s="34"/>
      <c r="F29" s="42"/>
    </row>
    <row r="30" spans="2:9">
      <c r="B30" s="36" t="s">
        <v>97</v>
      </c>
      <c r="C30" s="41">
        <f>SUM(C5:C28)</f>
        <v>6891236.0363162505</v>
      </c>
      <c r="D30" s="36" t="s">
        <v>97</v>
      </c>
      <c r="E30" s="36"/>
      <c r="F30" s="41">
        <f>SUM(F5:F29)</f>
        <v>6891236.0363162505</v>
      </c>
    </row>
    <row r="31" spans="2:9">
      <c r="D31" s="50">
        <f>C30-F30</f>
        <v>0</v>
      </c>
    </row>
    <row r="32" spans="2:9">
      <c r="E32" s="50">
        <f>C30-F30</f>
        <v>0</v>
      </c>
    </row>
    <row r="33" spans="4:6">
      <c r="D33" s="50"/>
      <c r="E33" s="50"/>
    </row>
    <row r="38" spans="4:6">
      <c r="D38" s="30"/>
      <c r="E38" s="30"/>
      <c r="F38" s="44"/>
    </row>
    <row r="39" spans="4:6">
      <c r="D39" s="30"/>
      <c r="E39" s="30"/>
      <c r="F39" s="44"/>
    </row>
    <row r="40" spans="4:6">
      <c r="D40" s="30"/>
      <c r="E40" s="30"/>
      <c r="F40" s="44"/>
    </row>
  </sheetData>
  <mergeCells count="2">
    <mergeCell ref="C3:D3"/>
    <mergeCell ref="A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43"/>
  <sheetViews>
    <sheetView showGridLines="0" topLeftCell="A22" workbookViewId="0" xr3:uid="{78B4E459-6924-5F8B-B7BA-2DD04133E49E}">
      <selection activeCell="B6" sqref="B6"/>
    </sheetView>
  </sheetViews>
  <sheetFormatPr defaultRowHeight="14.45"/>
  <cols>
    <col min="1" max="1" width="37.42578125" customWidth="1"/>
    <col min="2" max="2" width="14.85546875" style="5" customWidth="1"/>
    <col min="3" max="3" width="14.85546875" customWidth="1"/>
    <col min="4" max="4" width="14.85546875" style="5" customWidth="1"/>
    <col min="5" max="6" width="14.85546875" bestFit="1" customWidth="1"/>
    <col min="7" max="7" width="16.42578125" bestFit="1" customWidth="1"/>
    <col min="8" max="8" width="11" bestFit="1" customWidth="1"/>
    <col min="9" max="9" width="10.7109375" bestFit="1" customWidth="1"/>
  </cols>
  <sheetData>
    <row r="2" spans="1:8" ht="15.6">
      <c r="A2" s="4" t="s">
        <v>0</v>
      </c>
    </row>
    <row r="3" spans="1:8" s="1" customFormat="1">
      <c r="A3" s="1" t="s">
        <v>1</v>
      </c>
      <c r="B3" s="6"/>
      <c r="D3" s="6"/>
    </row>
    <row r="4" spans="1:8" s="1" customFormat="1">
      <c r="B4" s="6"/>
      <c r="D4" s="6"/>
      <c r="G4" s="7" t="s">
        <v>2</v>
      </c>
    </row>
    <row r="5" spans="1:8" s="1" customFormat="1" ht="29.1">
      <c r="A5" s="9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spans="1:8" s="1" customFormat="1">
      <c r="A6" s="10" t="s">
        <v>10</v>
      </c>
      <c r="B6" s="20">
        <f>+'Annexure-1'!K8-1920000-1920000</f>
        <v>2160000</v>
      </c>
      <c r="C6" s="20">
        <f>+'Annexure-1'!L8</f>
        <v>8280000</v>
      </c>
      <c r="D6" s="20">
        <f>+'Annexure-1'!M8</f>
        <v>28000000</v>
      </c>
      <c r="E6" s="20">
        <f>+'Annexure-1'!N8</f>
        <v>48000000</v>
      </c>
      <c r="F6" s="20">
        <f>+'Annexure-1'!O8</f>
        <v>75600000</v>
      </c>
      <c r="G6" s="21">
        <f>SUM(B6:F6)</f>
        <v>162040000</v>
      </c>
      <c r="H6" s="1">
        <f>9600000*20/100</f>
        <v>1920000</v>
      </c>
    </row>
    <row r="7" spans="1:8" s="1" customFormat="1">
      <c r="A7" s="10" t="s">
        <v>11</v>
      </c>
      <c r="B7" s="20">
        <f>+'Annexure-1'!K16</f>
        <v>1080000</v>
      </c>
      <c r="C7" s="20">
        <f>+'Annexure-1'!L16</f>
        <v>1400000</v>
      </c>
      <c r="D7" s="20">
        <f>+'Annexure-1'!M16</f>
        <v>1760000</v>
      </c>
      <c r="E7" s="20">
        <f>+'Annexure-1'!N16</f>
        <v>2160000</v>
      </c>
      <c r="F7" s="20">
        <f>+'Annexure-1'!O16</f>
        <v>1200000</v>
      </c>
      <c r="G7" s="21">
        <f>SUM(B7:F7)</f>
        <v>7600000</v>
      </c>
    </row>
    <row r="8" spans="1:8">
      <c r="A8" s="3" t="s">
        <v>12</v>
      </c>
      <c r="B8" s="22">
        <f>'Annexure-1'!K25</f>
        <v>750000</v>
      </c>
      <c r="C8" s="22">
        <f>+'Annexure-1'!$L$25</f>
        <v>1260000</v>
      </c>
      <c r="D8" s="22">
        <f>+'Annexure-1'!$M$25</f>
        <v>1800000</v>
      </c>
      <c r="E8" s="22">
        <f>+'Annexure-1'!$N$25</f>
        <v>4800000</v>
      </c>
      <c r="F8" s="22" t="e">
        <f>+'Annexure-1'!#REF!</f>
        <v>#REF!</v>
      </c>
      <c r="G8" s="23" t="e">
        <f>SUM(B8:F8)</f>
        <v>#REF!</v>
      </c>
    </row>
    <row r="9" spans="1:8">
      <c r="A9" s="3"/>
      <c r="B9" s="22"/>
      <c r="C9" s="24"/>
      <c r="D9" s="22"/>
      <c r="E9" s="24"/>
      <c r="F9" s="24"/>
      <c r="G9" s="24"/>
    </row>
    <row r="10" spans="1:8">
      <c r="A10" s="2" t="s">
        <v>9</v>
      </c>
      <c r="B10" s="21">
        <f t="shared" ref="B10:G10" si="0">SUM(B6:B9)</f>
        <v>3990000</v>
      </c>
      <c r="C10" s="21">
        <f t="shared" si="0"/>
        <v>10940000</v>
      </c>
      <c r="D10" s="21">
        <f t="shared" si="0"/>
        <v>31560000</v>
      </c>
      <c r="E10" s="21">
        <f t="shared" si="0"/>
        <v>54960000</v>
      </c>
      <c r="F10" s="21" t="e">
        <f t="shared" si="0"/>
        <v>#REF!</v>
      </c>
      <c r="G10" s="21" t="e">
        <f t="shared" si="0"/>
        <v>#REF!</v>
      </c>
    </row>
    <row r="11" spans="1:8">
      <c r="A11" s="11"/>
      <c r="B11" s="25"/>
      <c r="C11" s="25"/>
      <c r="D11" s="25"/>
      <c r="E11" s="25"/>
      <c r="F11" s="25"/>
      <c r="G11" s="25"/>
      <c r="H11" s="28">
        <f>B10-B12-B13+B14</f>
        <v>3263200</v>
      </c>
    </row>
    <row r="12" spans="1:8">
      <c r="A12" s="10" t="s">
        <v>18</v>
      </c>
      <c r="B12" s="20">
        <f>B10*15%</f>
        <v>598500</v>
      </c>
      <c r="C12" s="20">
        <f t="shared" ref="C12:F12" si="1">C10*15%</f>
        <v>1641000</v>
      </c>
      <c r="D12" s="20">
        <f t="shared" si="1"/>
        <v>4734000</v>
      </c>
      <c r="E12" s="20">
        <f t="shared" si="1"/>
        <v>8244000</v>
      </c>
      <c r="F12" s="20" t="e">
        <f t="shared" si="1"/>
        <v>#REF!</v>
      </c>
      <c r="G12" s="20" t="e">
        <f>SUM(B12:F12)</f>
        <v>#REF!</v>
      </c>
      <c r="H12" s="14"/>
    </row>
    <row r="13" spans="1:8">
      <c r="A13" s="10" t="s">
        <v>19</v>
      </c>
      <c r="B13" s="20">
        <f>(B10-B12)*20%</f>
        <v>678300</v>
      </c>
      <c r="C13" s="20">
        <f t="shared" ref="C13:F13" si="2">(C10-C12)*20%</f>
        <v>1859800</v>
      </c>
      <c r="D13" s="20">
        <f t="shared" si="2"/>
        <v>5365200</v>
      </c>
      <c r="E13" s="20">
        <f t="shared" si="2"/>
        <v>9343200</v>
      </c>
      <c r="F13" s="20" t="e">
        <f t="shared" si="2"/>
        <v>#REF!</v>
      </c>
      <c r="G13" s="20" t="e">
        <f>SUM(B13:F13)</f>
        <v>#REF!</v>
      </c>
      <c r="H13" s="14"/>
    </row>
    <row r="14" spans="1:8" ht="29.1">
      <c r="A14" s="9" t="s">
        <v>68</v>
      </c>
      <c r="B14" s="21">
        <v>550000</v>
      </c>
      <c r="C14" s="21">
        <v>1375000</v>
      </c>
      <c r="D14" s="21">
        <v>2900000</v>
      </c>
      <c r="E14" s="21">
        <v>5580000</v>
      </c>
      <c r="F14" s="21">
        <v>9750000</v>
      </c>
      <c r="G14" s="21">
        <f>SUM(B14:F14)</f>
        <v>20155000</v>
      </c>
    </row>
    <row r="15" spans="1:8">
      <c r="A15" s="13"/>
      <c r="B15" s="25"/>
      <c r="C15" s="25"/>
      <c r="D15" s="25"/>
      <c r="E15" s="25"/>
      <c r="F15" s="25"/>
      <c r="G15" s="25"/>
    </row>
    <row r="16" spans="1:8" ht="30.95">
      <c r="A16" s="17" t="s">
        <v>69</v>
      </c>
      <c r="B16" s="26">
        <f>B10-B12-B13+B14</f>
        <v>3263200</v>
      </c>
      <c r="C16" s="26">
        <f t="shared" ref="C16:F16" si="3">C10-C12-C13+C14</f>
        <v>8814200</v>
      </c>
      <c r="D16" s="26">
        <f t="shared" si="3"/>
        <v>24360800</v>
      </c>
      <c r="E16" s="26">
        <f t="shared" si="3"/>
        <v>42952800</v>
      </c>
      <c r="F16" s="26" t="e">
        <f t="shared" si="3"/>
        <v>#REF!</v>
      </c>
      <c r="G16" s="26" t="e">
        <f>#REF!+#REF!+G14</f>
        <v>#REF!</v>
      </c>
    </row>
    <row r="17" spans="1:9">
      <c r="A17" s="12"/>
      <c r="B17" s="8"/>
    </row>
    <row r="18" spans="1:9">
      <c r="A18" s="2" t="s">
        <v>70</v>
      </c>
      <c r="B18" s="7" t="s">
        <v>4</v>
      </c>
      <c r="C18" s="7" t="s">
        <v>5</v>
      </c>
      <c r="D18" s="7" t="s">
        <v>6</v>
      </c>
      <c r="E18" s="7" t="s">
        <v>7</v>
      </c>
      <c r="F18" s="7" t="s">
        <v>8</v>
      </c>
      <c r="G18" s="7" t="s">
        <v>9</v>
      </c>
    </row>
    <row r="19" spans="1:9">
      <c r="A19" s="3" t="s">
        <v>23</v>
      </c>
      <c r="B19" s="22">
        <f>10000*12</f>
        <v>120000</v>
      </c>
      <c r="C19" s="24">
        <f>18000*12</f>
        <v>216000</v>
      </c>
      <c r="D19" s="22">
        <f>15000*12</f>
        <v>180000</v>
      </c>
      <c r="E19" s="24">
        <f>18000*12</f>
        <v>216000</v>
      </c>
      <c r="F19" s="24">
        <f>25000*12</f>
        <v>300000</v>
      </c>
      <c r="G19" s="24">
        <f t="shared" ref="G19:G35" si="4">SUM(B19:F19)</f>
        <v>1032000</v>
      </c>
    </row>
    <row r="20" spans="1:9">
      <c r="A20" s="3" t="s">
        <v>71</v>
      </c>
      <c r="B20" s="22" t="e">
        <f>'Annexure-1'!#REF!</f>
        <v>#REF!</v>
      </c>
      <c r="C20" s="22" t="e">
        <f>+'Annexure-1'!#REF!</f>
        <v>#REF!</v>
      </c>
      <c r="D20" s="22" t="e">
        <f>+'Annexure-1'!#REF!</f>
        <v>#REF!</v>
      </c>
      <c r="E20" s="22" t="e">
        <f>+'Annexure-1'!#REF!</f>
        <v>#REF!</v>
      </c>
      <c r="F20" s="22" t="e">
        <f>+'Annexure-1'!#REF!</f>
        <v>#REF!</v>
      </c>
      <c r="G20" s="24" t="e">
        <f t="shared" si="4"/>
        <v>#REF!</v>
      </c>
    </row>
    <row r="21" spans="1:9">
      <c r="A21" s="3" t="s">
        <v>72</v>
      </c>
      <c r="B21" s="22" t="e">
        <f>+'Annexure-1'!#REF!</f>
        <v>#REF!</v>
      </c>
      <c r="C21" s="22" t="e">
        <f>+'Annexure-1'!#REF!+25000</f>
        <v>#REF!</v>
      </c>
      <c r="D21" s="22" t="e">
        <f>+'Annexure-1'!#REF!</f>
        <v>#REF!</v>
      </c>
      <c r="E21" s="22" t="e">
        <f>+'Annexure-1'!#REF!</f>
        <v>#REF!</v>
      </c>
      <c r="F21" s="22" t="e">
        <f>+'Annexure-1'!#REF!</f>
        <v>#REF!</v>
      </c>
      <c r="G21" s="24" t="e">
        <f t="shared" si="4"/>
        <v>#REF!</v>
      </c>
    </row>
    <row r="22" spans="1:9">
      <c r="A22" s="3" t="s">
        <v>26</v>
      </c>
      <c r="B22" s="22">
        <v>240000</v>
      </c>
      <c r="C22" s="24">
        <v>384000</v>
      </c>
      <c r="D22" s="22">
        <v>542400</v>
      </c>
      <c r="E22" s="24">
        <v>716640</v>
      </c>
      <c r="F22" s="24">
        <v>908304</v>
      </c>
      <c r="G22" s="24">
        <f t="shared" si="4"/>
        <v>2791344</v>
      </c>
      <c r="I22">
        <f>800000-264000</f>
        <v>536000</v>
      </c>
    </row>
    <row r="23" spans="1:9">
      <c r="A23" s="3" t="s">
        <v>27</v>
      </c>
      <c r="B23" s="22">
        <f>72000+28000+20000</f>
        <v>120000</v>
      </c>
      <c r="C23" s="24">
        <v>300000</v>
      </c>
      <c r="D23" s="22">
        <v>108000</v>
      </c>
      <c r="E23" s="24">
        <v>120000</v>
      </c>
      <c r="F23" s="24">
        <v>140000</v>
      </c>
      <c r="G23" s="24">
        <f t="shared" si="4"/>
        <v>788000</v>
      </c>
      <c r="I23">
        <f>536000+1500000</f>
        <v>2036000</v>
      </c>
    </row>
    <row r="24" spans="1:9">
      <c r="A24" s="3" t="s">
        <v>28</v>
      </c>
      <c r="B24" s="22">
        <v>500000</v>
      </c>
      <c r="C24" s="24">
        <v>834000</v>
      </c>
      <c r="D24" s="22">
        <v>851800</v>
      </c>
      <c r="E24" s="24">
        <v>1265880</v>
      </c>
      <c r="F24" s="24">
        <v>1797460</v>
      </c>
      <c r="G24" s="24">
        <f t="shared" si="4"/>
        <v>5249140</v>
      </c>
      <c r="I24">
        <f>I23*33/100</f>
        <v>671880</v>
      </c>
    </row>
    <row r="25" spans="1:9">
      <c r="A25" s="3" t="s">
        <v>29</v>
      </c>
      <c r="B25" s="22">
        <f>288000+120000</f>
        <v>408000</v>
      </c>
      <c r="C25" s="24">
        <f>892800+300000</f>
        <v>1192800</v>
      </c>
      <c r="D25" s="22">
        <v>2232000</v>
      </c>
      <c r="E25" s="24">
        <v>4464000</v>
      </c>
      <c r="F25" s="24">
        <v>6696000</v>
      </c>
      <c r="G25" s="24">
        <f t="shared" si="4"/>
        <v>14992800</v>
      </c>
    </row>
    <row r="26" spans="1:9">
      <c r="A26" s="3" t="s">
        <v>30</v>
      </c>
      <c r="B26" s="22">
        <v>240000</v>
      </c>
      <c r="C26" s="24">
        <v>360000</v>
      </c>
      <c r="D26" s="22">
        <v>540000</v>
      </c>
      <c r="E26" s="24">
        <v>810000</v>
      </c>
      <c r="F26" s="24">
        <v>1215000</v>
      </c>
      <c r="G26" s="24">
        <f t="shared" si="4"/>
        <v>3165000</v>
      </c>
    </row>
    <row r="27" spans="1:9">
      <c r="A27" s="3" t="s">
        <v>31</v>
      </c>
      <c r="B27" s="22">
        <v>180000</v>
      </c>
      <c r="C27" s="24">
        <v>270000</v>
      </c>
      <c r="D27" s="22">
        <v>405000</v>
      </c>
      <c r="E27" s="24">
        <v>607500</v>
      </c>
      <c r="F27" s="24">
        <v>911250</v>
      </c>
      <c r="G27" s="24">
        <f t="shared" si="4"/>
        <v>2373750</v>
      </c>
    </row>
    <row r="28" spans="1:9">
      <c r="A28" s="45" t="s">
        <v>33</v>
      </c>
      <c r="B28" s="22">
        <v>150000</v>
      </c>
      <c r="C28" s="24">
        <v>200000</v>
      </c>
      <c r="D28" s="22">
        <v>200000</v>
      </c>
      <c r="E28" s="24">
        <v>200000</v>
      </c>
      <c r="F28" s="24">
        <v>200000</v>
      </c>
      <c r="G28" s="24">
        <f t="shared" si="4"/>
        <v>950000</v>
      </c>
    </row>
    <row r="29" spans="1:9">
      <c r="A29" s="45" t="s">
        <v>34</v>
      </c>
      <c r="B29" s="3">
        <f>1200000*14/100</f>
        <v>168000</v>
      </c>
      <c r="C29" s="24">
        <f>Sheet2!E5</f>
        <v>74666.759999999995</v>
      </c>
      <c r="D29" s="22">
        <f>Sheet2!F5</f>
        <v>37334</v>
      </c>
      <c r="E29" s="24">
        <f>Sheet2!D10</f>
        <v>112000</v>
      </c>
      <c r="F29" s="24">
        <f>Sheet2!E10</f>
        <v>74666.759999999995</v>
      </c>
      <c r="G29" s="24">
        <f t="shared" si="4"/>
        <v>466667.52000000002</v>
      </c>
    </row>
    <row r="30" spans="1:9">
      <c r="A30" s="45" t="s">
        <v>35</v>
      </c>
      <c r="B30" s="10">
        <v>100000</v>
      </c>
      <c r="C30" s="24">
        <v>75000</v>
      </c>
      <c r="D30" s="22">
        <v>75000</v>
      </c>
      <c r="E30" s="24">
        <v>65000</v>
      </c>
      <c r="F30" s="24">
        <v>60500</v>
      </c>
      <c r="G30" s="24">
        <f t="shared" si="4"/>
        <v>375500</v>
      </c>
    </row>
    <row r="31" spans="1:9">
      <c r="A31" s="45"/>
      <c r="B31" s="23" t="e">
        <f>SUM(B19:B30)</f>
        <v>#REF!</v>
      </c>
      <c r="C31" s="24"/>
      <c r="D31" s="22"/>
      <c r="E31" s="24"/>
      <c r="F31" s="24"/>
      <c r="G31" s="24"/>
    </row>
    <row r="32" spans="1:9">
      <c r="A32" s="45"/>
      <c r="B32" s="23" t="e">
        <f>B16-B31</f>
        <v>#REF!</v>
      </c>
      <c r="C32" s="24"/>
      <c r="D32" s="22"/>
      <c r="E32" s="24"/>
      <c r="F32" s="24"/>
      <c r="G32" s="24"/>
    </row>
    <row r="33" spans="1:11">
      <c r="A33" s="3" t="s">
        <v>73</v>
      </c>
      <c r="B33" s="39">
        <f>1413600*30/100+125000</f>
        <v>549080</v>
      </c>
      <c r="C33" s="24">
        <v>3000000</v>
      </c>
      <c r="D33" s="22">
        <v>3000000</v>
      </c>
      <c r="E33" s="24">
        <v>3500000</v>
      </c>
      <c r="F33" s="24">
        <v>3500000</v>
      </c>
      <c r="G33" s="24">
        <f t="shared" si="4"/>
        <v>13549080</v>
      </c>
    </row>
    <row r="34" spans="1:11">
      <c r="A34" s="3"/>
      <c r="B34" s="32" t="e">
        <f>B32-B33</f>
        <v>#REF!</v>
      </c>
      <c r="C34" s="24"/>
      <c r="D34" s="22"/>
      <c r="E34" s="24"/>
      <c r="F34" s="24"/>
      <c r="G34" s="24" t="e">
        <f t="shared" si="4"/>
        <v>#REF!</v>
      </c>
    </row>
    <row r="35" spans="1:11">
      <c r="A35" s="2" t="s">
        <v>36</v>
      </c>
      <c r="B35" s="22"/>
      <c r="C35" s="24">
        <f>2377980</f>
        <v>2377980</v>
      </c>
      <c r="D35" s="22"/>
      <c r="E35" s="24"/>
      <c r="F35" s="24"/>
      <c r="G35" s="24">
        <f t="shared" si="4"/>
        <v>2377980</v>
      </c>
    </row>
    <row r="36" spans="1:11" ht="15.6">
      <c r="A36" s="18" t="s">
        <v>39</v>
      </c>
      <c r="B36" s="26"/>
      <c r="C36" s="26" t="e">
        <f>SUM(C19:C35)</f>
        <v>#REF!</v>
      </c>
      <c r="D36" s="26" t="e">
        <f>SUM(D19:D35)</f>
        <v>#REF!</v>
      </c>
      <c r="E36" s="26" t="e">
        <f>SUM(E19:E35)</f>
        <v>#REF!</v>
      </c>
      <c r="F36" s="26" t="e">
        <f>SUM(F19:F35)</f>
        <v>#REF!</v>
      </c>
      <c r="G36" s="26" t="e">
        <f>SUM(G18:G29)</f>
        <v>#REF!</v>
      </c>
    </row>
    <row r="37" spans="1:11">
      <c r="B37" s="27"/>
      <c r="C37" s="28"/>
      <c r="D37" s="27"/>
      <c r="E37" s="28"/>
      <c r="F37" s="28"/>
      <c r="G37" s="28"/>
      <c r="K37">
        <f>5599360*30/100</f>
        <v>1679808</v>
      </c>
    </row>
    <row r="38" spans="1:11" s="1" customFormat="1" ht="17.100000000000001">
      <c r="A38" s="19" t="s">
        <v>40</v>
      </c>
      <c r="B38" s="29"/>
      <c r="C38" s="29" t="e">
        <f>C16-C36</f>
        <v>#REF!</v>
      </c>
      <c r="D38" s="29" t="e">
        <f>D16-D36</f>
        <v>#REF!</v>
      </c>
      <c r="E38" s="29" t="e">
        <f>E16-E36</f>
        <v>#REF!</v>
      </c>
      <c r="F38" s="29" t="e">
        <f>F16-F36</f>
        <v>#REF!</v>
      </c>
      <c r="G38" s="29" t="e">
        <f>G16-G36</f>
        <v>#REF!</v>
      </c>
      <c r="K38" s="1">
        <v>125000</v>
      </c>
    </row>
    <row r="41" spans="1:11">
      <c r="B41" s="5">
        <f>2820560+1900000</f>
        <v>4720560</v>
      </c>
      <c r="C41">
        <f>8927793+3000000</f>
        <v>11927793</v>
      </c>
    </row>
    <row r="42" spans="1:11">
      <c r="B42" s="5">
        <f>B41*50/100</f>
        <v>2360280</v>
      </c>
    </row>
    <row r="43" spans="1:11">
      <c r="C43">
        <f>C41*50/100</f>
        <v>5963896.5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D23"/>
  <sheetViews>
    <sheetView workbookViewId="0" xr3:uid="{9B253EF2-77E0-53E3-AE26-4D66ECD923F3}">
      <selection activeCell="C24" sqref="C24"/>
    </sheetView>
  </sheetViews>
  <sheetFormatPr defaultRowHeight="14.45"/>
  <cols>
    <col min="2" max="2" width="20.42578125" customWidth="1"/>
    <col min="4" max="4" width="9.7109375" bestFit="1" customWidth="1"/>
  </cols>
  <sheetData>
    <row r="6" spans="1:4">
      <c r="B6" s="1" t="s">
        <v>105</v>
      </c>
    </row>
    <row r="7" spans="1:4">
      <c r="A7" t="s">
        <v>106</v>
      </c>
      <c r="B7" s="31">
        <f>'Bal-2'!F9+'Bal-2'!F16</f>
        <v>0</v>
      </c>
      <c r="C7" s="31">
        <f>B7*33%</f>
        <v>0</v>
      </c>
      <c r="D7" s="31">
        <f>B7-C7</f>
        <v>0</v>
      </c>
    </row>
    <row r="8" spans="1:4">
      <c r="B8">
        <f>'I&amp;E'!D40/2</f>
        <v>3977048.9278938966</v>
      </c>
      <c r="C8">
        <f>B8*33%/2</f>
        <v>656213.07310249296</v>
      </c>
      <c r="D8">
        <f>B8-C8</f>
        <v>3320835.8547914037</v>
      </c>
    </row>
    <row r="9" spans="1:4">
      <c r="C9" s="73">
        <f>C7+C8</f>
        <v>656213.07310249296</v>
      </c>
      <c r="D9" s="73">
        <f>SUM(D7:D8)</f>
        <v>3320835.8547914037</v>
      </c>
    </row>
    <row r="12" spans="1:4">
      <c r="A12" t="s">
        <v>107</v>
      </c>
      <c r="B12">
        <v>5110518</v>
      </c>
      <c r="C12">
        <f>B12*33%</f>
        <v>1686470.9400000002</v>
      </c>
      <c r="D12">
        <f>B12-C12</f>
        <v>3424047.0599999996</v>
      </c>
    </row>
    <row r="13" spans="1:4">
      <c r="B13">
        <f>'I&amp;E'!E40/2</f>
        <v>7615673.1120620295</v>
      </c>
      <c r="C13">
        <f>B13*33%/2</f>
        <v>1256586.063490235</v>
      </c>
      <c r="D13">
        <f>B13-C13</f>
        <v>6359087.0485717943</v>
      </c>
    </row>
    <row r="14" spans="1:4">
      <c r="C14" s="1">
        <f>SUM(C12:C13)</f>
        <v>2943057.0034902352</v>
      </c>
      <c r="D14" s="1">
        <f>SUM(D12:D13)</f>
        <v>9783134.1085717939</v>
      </c>
    </row>
    <row r="16" spans="1:4">
      <c r="A16" t="s">
        <v>108</v>
      </c>
      <c r="B16">
        <v>11802619</v>
      </c>
      <c r="C16">
        <f>B16*33%</f>
        <v>3894864.27</v>
      </c>
      <c r="D16">
        <f>B16-C16</f>
        <v>7907754.7300000004</v>
      </c>
    </row>
    <row r="17" spans="2:4">
      <c r="B17" s="31">
        <f>'I&amp;E'!F40/2</f>
        <v>13298534.102601588</v>
      </c>
      <c r="C17">
        <f>B17*33%/2</f>
        <v>2194258.1269292622</v>
      </c>
      <c r="D17" s="31">
        <f>B17-C17</f>
        <v>11104275.975672325</v>
      </c>
    </row>
    <row r="18" spans="2:4">
      <c r="C18" s="1">
        <f>SUM(C16:C17)</f>
        <v>6089122.3969292622</v>
      </c>
      <c r="D18" s="1">
        <f>SUM(D16:D17)</f>
        <v>19012030.705672324</v>
      </c>
    </row>
    <row r="22" spans="2:4">
      <c r="C22">
        <f>569250+200000</f>
        <v>769250</v>
      </c>
    </row>
    <row r="23" spans="2:4">
      <c r="C23">
        <f>C22*33.33/100</f>
        <v>256391.02499999999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N35"/>
  <sheetViews>
    <sheetView workbookViewId="0" xr3:uid="{85D5C41F-068E-5C55-9968-509E7C2A5619}">
      <selection activeCell="G9" sqref="G9"/>
    </sheetView>
  </sheetViews>
  <sheetFormatPr defaultRowHeight="14.45"/>
  <cols>
    <col min="1" max="1" width="20.7109375" customWidth="1"/>
    <col min="2" max="2" width="18.140625" customWidth="1"/>
    <col min="3" max="4" width="18.7109375" customWidth="1"/>
    <col min="5" max="8" width="15.5703125" customWidth="1"/>
  </cols>
  <sheetData>
    <row r="4" spans="1:14">
      <c r="A4" s="1" t="s">
        <v>109</v>
      </c>
      <c r="B4" s="77" t="s">
        <v>82</v>
      </c>
      <c r="C4" s="1" t="s">
        <v>110</v>
      </c>
      <c r="D4" s="77" t="s">
        <v>111</v>
      </c>
      <c r="E4" s="77" t="s">
        <v>112</v>
      </c>
      <c r="F4" s="77" t="s">
        <v>97</v>
      </c>
      <c r="G4" s="77" t="s">
        <v>36</v>
      </c>
      <c r="H4" s="77" t="s">
        <v>113</v>
      </c>
      <c r="K4">
        <f>D7*33.33/100</f>
        <v>99990</v>
      </c>
    </row>
    <row r="5" spans="1:14">
      <c r="K5">
        <f>K4*6/12</f>
        <v>49995</v>
      </c>
    </row>
    <row r="6" spans="1:14">
      <c r="A6" s="1" t="s">
        <v>4</v>
      </c>
      <c r="C6" t="s">
        <v>114</v>
      </c>
      <c r="D6">
        <v>569250</v>
      </c>
      <c r="F6">
        <f>D6</f>
        <v>569250</v>
      </c>
      <c r="G6" s="31">
        <f>D6*33.33%*6/12</f>
        <v>94865.512499999997</v>
      </c>
      <c r="H6" s="31">
        <f>D6-G6</f>
        <v>474384.48749999999</v>
      </c>
    </row>
    <row r="7" spans="1:14">
      <c r="C7" t="s">
        <v>86</v>
      </c>
      <c r="D7">
        <v>300000</v>
      </c>
      <c r="F7">
        <f>D7</f>
        <v>300000</v>
      </c>
      <c r="G7">
        <f>D7*33.33/100*6/12</f>
        <v>49995</v>
      </c>
      <c r="H7">
        <f>D7-G7</f>
        <v>250005</v>
      </c>
    </row>
    <row r="9" spans="1:14">
      <c r="F9" s="1">
        <f>F6+F7</f>
        <v>869250</v>
      </c>
      <c r="G9" s="73">
        <f>G6+G7</f>
        <v>144860.51250000001</v>
      </c>
      <c r="H9" s="73">
        <f>SUM(H6:H7)</f>
        <v>724389.48750000005</v>
      </c>
    </row>
    <row r="10" spans="1:14">
      <c r="M10">
        <v>6</v>
      </c>
      <c r="N10">
        <v>113850</v>
      </c>
    </row>
    <row r="11" spans="1:14">
      <c r="A11" s="1" t="s">
        <v>5</v>
      </c>
      <c r="M11">
        <v>10</v>
      </c>
    </row>
    <row r="12" spans="1:14">
      <c r="B12" s="31">
        <f>H6</f>
        <v>474384.48749999999</v>
      </c>
      <c r="C12" s="78" t="s">
        <v>115</v>
      </c>
      <c r="D12">
        <v>189750</v>
      </c>
      <c r="F12" s="31">
        <f>B12+D12</f>
        <v>664134.48750000005</v>
      </c>
      <c r="G12" s="31">
        <f>F12*33.33/100</f>
        <v>221356.02468375</v>
      </c>
      <c r="H12" s="31">
        <f>F12-G12</f>
        <v>442778.46281625004</v>
      </c>
      <c r="N12">
        <f>113850*10/6</f>
        <v>189750</v>
      </c>
    </row>
    <row r="13" spans="1:14">
      <c r="B13">
        <f>H7</f>
        <v>250005</v>
      </c>
      <c r="C13" t="s">
        <v>86</v>
      </c>
      <c r="D13">
        <v>400000</v>
      </c>
      <c r="F13">
        <f>B13+D13</f>
        <v>650005</v>
      </c>
      <c r="G13" s="31">
        <f>F13*33.33/100</f>
        <v>216646.66649999999</v>
      </c>
      <c r="H13" s="31">
        <f>F13-G13</f>
        <v>433358.33350000001</v>
      </c>
    </row>
    <row r="15" spans="1:14">
      <c r="B15" s="73">
        <f>SUM(B12:B13)</f>
        <v>724389.48750000005</v>
      </c>
      <c r="D15" s="1">
        <f>SUM(D12:D13)</f>
        <v>589750</v>
      </c>
      <c r="F15" s="73">
        <f>SUM(F12:F13)</f>
        <v>1314139.4875</v>
      </c>
      <c r="G15" s="73">
        <f>SUM(G12:G13)</f>
        <v>438002.69118374999</v>
      </c>
      <c r="H15" s="73">
        <f>SUM(H12:H13)</f>
        <v>876136.79631624999</v>
      </c>
    </row>
    <row r="18" spans="1:13">
      <c r="A18" s="1" t="s">
        <v>6</v>
      </c>
      <c r="B18" s="77" t="s">
        <v>82</v>
      </c>
    </row>
    <row r="19" spans="1:13">
      <c r="B19" s="31">
        <f>H12</f>
        <v>442778.46281625004</v>
      </c>
      <c r="C19" t="s">
        <v>116</v>
      </c>
      <c r="D19">
        <v>1897500</v>
      </c>
      <c r="F19" s="31">
        <f>B19+D19</f>
        <v>2340278.46281625</v>
      </c>
      <c r="G19" s="31">
        <f>F19*33.33/100</f>
        <v>780014.81165665609</v>
      </c>
      <c r="H19" s="31">
        <f>F19-G19</f>
        <v>1560263.6511595938</v>
      </c>
    </row>
    <row r="20" spans="1:13">
      <c r="B20" s="31">
        <f>H13</f>
        <v>433358.33350000001</v>
      </c>
      <c r="C20" t="s">
        <v>86</v>
      </c>
      <c r="D20">
        <v>550000</v>
      </c>
      <c r="F20" s="31">
        <f>B20+D20</f>
        <v>983358.33349999995</v>
      </c>
      <c r="G20" s="31">
        <f>F20*33.33/100</f>
        <v>327753.33255554998</v>
      </c>
      <c r="H20" s="31">
        <f>F20-G20</f>
        <v>655605.00094445003</v>
      </c>
      <c r="L20">
        <v>10</v>
      </c>
      <c r="M20">
        <v>189750</v>
      </c>
    </row>
    <row r="21" spans="1:13">
      <c r="L21">
        <v>100</v>
      </c>
    </row>
    <row r="22" spans="1:13">
      <c r="B22" s="73">
        <f>SUM(B19:B20)</f>
        <v>876136.79631624999</v>
      </c>
      <c r="D22" s="1">
        <f>SUM(D19:D20)</f>
        <v>2447500</v>
      </c>
      <c r="F22" s="73">
        <f>SUM(F19:F20)</f>
        <v>3323636.7963162502</v>
      </c>
      <c r="G22" s="73">
        <f>SUM(G19:G20)</f>
        <v>1107768.1442122061</v>
      </c>
      <c r="H22" s="73">
        <f>SUM(H19:H20)</f>
        <v>2215868.6521040439</v>
      </c>
      <c r="M22">
        <f>100*189750/10</f>
        <v>1897500</v>
      </c>
    </row>
    <row r="24" spans="1:13">
      <c r="A24" t="s">
        <v>7</v>
      </c>
      <c r="B24" s="1" t="s">
        <v>82</v>
      </c>
    </row>
    <row r="25" spans="1:13">
      <c r="B25" s="31">
        <f>H19</f>
        <v>1560263.6511595938</v>
      </c>
      <c r="C25" t="s">
        <v>117</v>
      </c>
      <c r="D25">
        <v>1518000</v>
      </c>
      <c r="F25" s="31">
        <f>B25+D25</f>
        <v>3078263.6511595938</v>
      </c>
      <c r="G25" s="31">
        <f>F25*33.33/100</f>
        <v>1025985.2749314925</v>
      </c>
      <c r="H25" s="31">
        <f>F25-G25</f>
        <v>2052278.3762281013</v>
      </c>
    </row>
    <row r="26" spans="1:13">
      <c r="B26" s="31">
        <f>H20</f>
        <v>655605.00094445003</v>
      </c>
      <c r="C26" t="s">
        <v>86</v>
      </c>
      <c r="D26">
        <v>700000</v>
      </c>
      <c r="F26" s="31">
        <f>B26+D26</f>
        <v>1355605.00094445</v>
      </c>
      <c r="G26" s="31">
        <f>B26+D26*33.33/100</f>
        <v>888915.00094445003</v>
      </c>
      <c r="H26" s="31">
        <f>F26-G26</f>
        <v>466690</v>
      </c>
    </row>
    <row r="27" spans="1:13">
      <c r="J27">
        <f>8000*40/2400</f>
        <v>133.33333333333334</v>
      </c>
      <c r="L27">
        <v>10</v>
      </c>
      <c r="M27">
        <v>189750</v>
      </c>
    </row>
    <row r="28" spans="1:13">
      <c r="B28" s="73">
        <f>SUM(B25:B26)</f>
        <v>2215868.6521040439</v>
      </c>
      <c r="D28" s="1">
        <f>SUM(D25:D26)</f>
        <v>2218000</v>
      </c>
      <c r="G28" s="73">
        <f>SUM(G25:G26)</f>
        <v>1914900.2758759425</v>
      </c>
      <c r="H28" s="73">
        <f>H25+H26</f>
        <v>2518968.3762281016</v>
      </c>
      <c r="L28">
        <v>80</v>
      </c>
    </row>
    <row r="29" spans="1:13">
      <c r="J29">
        <f>12000*40/2400</f>
        <v>200</v>
      </c>
      <c r="M29">
        <f>80*189750/10</f>
        <v>1518000</v>
      </c>
    </row>
    <row r="30" spans="1:13">
      <c r="A30" s="1" t="s">
        <v>8</v>
      </c>
      <c r="B30" s="1" t="s">
        <v>82</v>
      </c>
    </row>
    <row r="32" spans="1:13">
      <c r="B32" s="31">
        <f>H25</f>
        <v>2052278.3762281013</v>
      </c>
      <c r="C32" t="s">
        <v>118</v>
      </c>
      <c r="D32">
        <v>2000000</v>
      </c>
      <c r="F32" s="31">
        <f>B32+D32</f>
        <v>4052278.3762281016</v>
      </c>
      <c r="G32" s="31">
        <f>F32*33.33/100</f>
        <v>1350624.3827968261</v>
      </c>
      <c r="H32" s="31">
        <f>F32-G32</f>
        <v>2701653.9934312757</v>
      </c>
    </row>
    <row r="33" spans="2:8">
      <c r="B33" s="31">
        <f>H26</f>
        <v>466690</v>
      </c>
      <c r="C33" t="s">
        <v>86</v>
      </c>
      <c r="D33">
        <v>750000</v>
      </c>
      <c r="F33" s="31">
        <f>B33+D33</f>
        <v>1216690</v>
      </c>
      <c r="G33" s="31">
        <f>F33*33.33/100</f>
        <v>405522.77699999994</v>
      </c>
      <c r="H33" s="31">
        <f>F33-G33</f>
        <v>811167.223</v>
      </c>
    </row>
    <row r="35" spans="2:8">
      <c r="B35" s="73">
        <f>SUM(B32:B33)</f>
        <v>2518968.3762281016</v>
      </c>
      <c r="D35" s="1">
        <f>SUM(D32:D33)</f>
        <v>2750000</v>
      </c>
      <c r="F35" s="73">
        <f>SUM(F32:F33)</f>
        <v>5268968.3762281016</v>
      </c>
      <c r="G35" s="73">
        <f>G32+G33</f>
        <v>1756147.1597968261</v>
      </c>
      <c r="H35" s="73">
        <f>SUM(H32:H33)</f>
        <v>3512821.2164312759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 xr3:uid="{44B22561-5205-5C8A-B808-2C70100D228F}">
      <selection activeCell="D17" sqref="D17"/>
    </sheetView>
  </sheetViews>
  <sheetFormatPr defaultRowHeight="14.45"/>
  <cols>
    <col min="2" max="2" width="18.28515625" customWidth="1"/>
  </cols>
  <sheetData>
    <row r="1" spans="1:13">
      <c r="A1" s="30"/>
      <c r="B1" s="30"/>
      <c r="C1" s="30"/>
      <c r="D1" s="30"/>
      <c r="E1" s="30"/>
    </row>
    <row r="2" spans="1:13">
      <c r="A2" s="30"/>
      <c r="B2" s="30"/>
      <c r="C2" s="30"/>
      <c r="D2" s="30"/>
      <c r="E2" s="30"/>
    </row>
    <row r="3" spans="1:13">
      <c r="A3" s="30" t="s">
        <v>119</v>
      </c>
      <c r="B3" s="30"/>
      <c r="C3" s="30"/>
      <c r="D3" s="30"/>
      <c r="E3" s="30"/>
    </row>
    <row r="4" spans="1:13">
      <c r="A4" s="30"/>
      <c r="B4" s="30"/>
      <c r="C4" s="30"/>
      <c r="D4" s="30" t="s">
        <v>120</v>
      </c>
      <c r="E4" s="30" t="s">
        <v>121</v>
      </c>
      <c r="F4" t="s">
        <v>6</v>
      </c>
    </row>
    <row r="5" spans="1:13">
      <c r="A5" s="30" t="s">
        <v>122</v>
      </c>
      <c r="B5" s="30"/>
      <c r="C5" s="30">
        <v>1200000</v>
      </c>
      <c r="D5" s="30">
        <f>1200000*14/100</f>
        <v>168000</v>
      </c>
      <c r="E5" s="31">
        <f>533334*14/100</f>
        <v>74666.759999999995</v>
      </c>
      <c r="F5">
        <v>37334</v>
      </c>
      <c r="M5">
        <f>800000/3</f>
        <v>266666.66666666669</v>
      </c>
    </row>
    <row r="6" spans="1:13">
      <c r="A6" s="30"/>
      <c r="B6" s="30"/>
      <c r="C6" s="30"/>
      <c r="D6" s="30"/>
      <c r="E6" s="30"/>
      <c r="M6">
        <f>800000/3</f>
        <v>266666.66666666669</v>
      </c>
    </row>
    <row r="7" spans="1:13">
      <c r="A7" s="30"/>
      <c r="B7" s="30"/>
      <c r="C7" s="30"/>
      <c r="D7" s="30"/>
      <c r="E7" s="30"/>
    </row>
    <row r="8" spans="1:13">
      <c r="A8" s="30"/>
      <c r="B8" s="30"/>
      <c r="C8" s="30"/>
      <c r="D8" s="30"/>
      <c r="E8" s="30"/>
    </row>
    <row r="9" spans="1:13">
      <c r="A9" s="30" t="s">
        <v>123</v>
      </c>
      <c r="B9" s="30"/>
      <c r="C9" s="30"/>
      <c r="D9" s="30" t="s">
        <v>7</v>
      </c>
      <c r="E9" s="30" t="s">
        <v>8</v>
      </c>
    </row>
    <row r="10" spans="1:13">
      <c r="A10" s="30" t="s">
        <v>124</v>
      </c>
      <c r="B10" s="30"/>
      <c r="C10" s="30">
        <v>800000</v>
      </c>
      <c r="D10" s="30">
        <f>800000*14/100</f>
        <v>112000</v>
      </c>
      <c r="E10" s="30">
        <f>533334*14/100</f>
        <v>74666.759999999995</v>
      </c>
    </row>
    <row r="11" spans="1:13">
      <c r="M11">
        <f>533334*14/100</f>
        <v>74666.759999999995</v>
      </c>
    </row>
    <row r="12" spans="1:13">
      <c r="M12">
        <f>533334-M6</f>
        <v>266667.33333333331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2017-02-09T08:53:56Z</dcterms:modified>
  <cp:category/>
  <cp:contentStatus/>
</cp:coreProperties>
</file>